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Storage\00B Issues\RR Xing\WSDOT Calculator\Final Versions\"/>
    </mc:Choice>
  </mc:AlternateContent>
  <xr:revisionPtr revIDLastSave="0" documentId="13_ncr:1_{6C5E8AD2-6CBB-470F-BB10-C591F7E5AC03}" xr6:coauthVersionLast="47" xr6:coauthVersionMax="47" xr10:uidLastSave="{00000000-0000-0000-0000-000000000000}"/>
  <workbookProtection workbookAlgorithmName="SHA-512" workbookHashValue="u9PBoDYX7vaY2KqMbJ+ackM70nSr65QtWY02E+77ZF9fatg+oLSJFFGi7FX5OhN8/GsechorNv9XBlHNtOydFg==" workbookSaltValue="3iXhyzjkHERBQyNK0eGaMQ==" workbookSpinCount="100000" lockStructure="1"/>
  <bookViews>
    <workbookView xWindow="28680" yWindow="-120" windowWidth="29040" windowHeight="16440" xr2:uid="{00B36310-3397-427D-A2C0-0F9F4D8B687F}"/>
  </bookViews>
  <sheets>
    <sheet name="Worksheet" sheetId="1" r:id="rId1"/>
    <sheet name="Supporting Data" sheetId="2" r:id="rId2"/>
  </sheets>
  <definedNames>
    <definedName name="_xlnm.Print_Area" localSheetId="0">Worksheet!$A$1:$H$228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1" i="1" l="1"/>
  <c r="H159" i="1"/>
  <c r="G159" i="1"/>
  <c r="D121" i="1"/>
  <c r="D123" i="1" s="1"/>
  <c r="E30" i="2"/>
  <c r="F30" i="2" s="1"/>
  <c r="I32" i="2" l="1"/>
  <c r="J32" i="2" s="1" a="1"/>
  <c r="J32" i="2" s="1"/>
  <c r="I68" i="2"/>
  <c r="M30" i="2"/>
  <c r="L78" i="2" l="1"/>
  <c r="J68" i="2" a="1"/>
  <c r="J68" i="2" s="1"/>
  <c r="L77" i="2" s="1"/>
  <c r="L73" i="2"/>
  <c r="L40" i="2"/>
  <c r="L76" i="2"/>
  <c r="L42" i="2"/>
  <c r="L37" i="2"/>
  <c r="L79" i="2" l="1"/>
  <c r="L74" i="2"/>
  <c r="E66" i="2"/>
  <c r="E65" i="2"/>
  <c r="E59" i="2"/>
  <c r="E61" i="2" s="1"/>
  <c r="F66" i="2" l="1"/>
  <c r="M66" i="2"/>
  <c r="D148" i="1"/>
  <c r="D129" i="1"/>
  <c r="D154" i="1"/>
  <c r="E22" i="2"/>
  <c r="E24" i="2" s="1"/>
  <c r="E29" i="2"/>
  <c r="D228" i="1" l="1"/>
  <c r="D227" i="1"/>
  <c r="D223" i="1"/>
  <c r="D222" i="1"/>
  <c r="D217" i="1"/>
  <c r="D216" i="1"/>
  <c r="D215" i="1"/>
  <c r="D214" i="1"/>
  <c r="D213" i="1"/>
  <c r="D210" i="1"/>
  <c r="D175" i="1"/>
  <c r="D130" i="1"/>
  <c r="E18" i="2"/>
  <c r="D111" i="1"/>
  <c r="D103" i="1"/>
  <c r="D95" i="1"/>
  <c r="D85" i="1"/>
  <c r="D82" i="1"/>
  <c r="D84" i="1" s="1"/>
  <c r="D131" i="1" s="1"/>
  <c r="E17" i="2" l="1"/>
  <c r="E15" i="2" s="1"/>
  <c r="G15" i="2" s="1"/>
  <c r="D126" i="1" s="1"/>
  <c r="E31" i="2"/>
  <c r="L43" i="2"/>
  <c r="L38" i="2"/>
  <c r="L41" i="2"/>
  <c r="E23" i="2"/>
  <c r="E25" i="2" s="1"/>
  <c r="D132" i="1" s="1"/>
  <c r="D115" i="1"/>
  <c r="D146" i="1" s="1"/>
  <c r="D114" i="1"/>
  <c r="D140" i="1" s="1"/>
  <c r="D155" i="1"/>
  <c r="D182" i="1"/>
  <c r="D183" i="1"/>
  <c r="D184" i="1"/>
  <c r="D186" i="1" s="1"/>
  <c r="J43" i="2" l="1"/>
  <c r="J29" i="2"/>
  <c r="J42" i="2"/>
  <c r="I29" i="2"/>
  <c r="E33" i="2" s="1"/>
  <c r="I43" i="2"/>
  <c r="I42" i="2"/>
  <c r="M29" i="2"/>
  <c r="I31" i="2"/>
  <c r="F31" i="2"/>
  <c r="D187" i="1"/>
  <c r="D124" i="1"/>
  <c r="N35" i="2" l="1"/>
  <c r="M35" i="2"/>
  <c r="J35" i="2"/>
  <c r="N33" i="2"/>
  <c r="M33" i="2"/>
  <c r="I35" i="2"/>
  <c r="J44" i="2"/>
  <c r="J45" i="2" s="1"/>
  <c r="J46" i="2" s="1"/>
  <c r="I44" i="2"/>
  <c r="I45" i="2" s="1"/>
  <c r="I46" i="2" s="1"/>
  <c r="J31" i="2" a="1"/>
  <c r="J31" i="2" s="1"/>
  <c r="L33" i="2"/>
  <c r="L35" i="2"/>
  <c r="F36" i="2"/>
  <c r="F35" i="2"/>
  <c r="F34" i="2"/>
  <c r="F33" i="2"/>
  <c r="E60" i="2"/>
  <c r="E62" i="2" s="1"/>
  <c r="D188" i="1" s="1"/>
  <c r="E67" i="2"/>
  <c r="H15" i="2"/>
  <c r="J65" i="2" l="1"/>
  <c r="I79" i="2"/>
  <c r="J78" i="2"/>
  <c r="J79" i="2"/>
  <c r="I78" i="2"/>
  <c r="I65" i="2"/>
  <c r="M36" i="2"/>
  <c r="M38" i="2" s="1"/>
  <c r="J36" i="2"/>
  <c r="J37" i="2" s="1"/>
  <c r="J38" i="2" s="1"/>
  <c r="J39" i="2" s="1"/>
  <c r="M34" i="2"/>
  <c r="M37" i="2" s="1"/>
  <c r="I36" i="2"/>
  <c r="N36" i="2"/>
  <c r="N34" i="2"/>
  <c r="N37" i="2" s="1"/>
  <c r="E35" i="2"/>
  <c r="M65" i="2"/>
  <c r="I67" i="2"/>
  <c r="F67" i="2"/>
  <c r="L34" i="2"/>
  <c r="N38" i="2"/>
  <c r="I37" i="2"/>
  <c r="I38" i="2" s="1"/>
  <c r="I39" i="2" s="1"/>
  <c r="M39" i="2"/>
  <c r="N39" i="2" s="1"/>
  <c r="L36" i="2"/>
  <c r="I15" i="2"/>
  <c r="D128" i="1" s="1"/>
  <c r="D181" i="1" s="1"/>
  <c r="D127" i="1"/>
  <c r="M69" i="2" l="1"/>
  <c r="J71" i="2"/>
  <c r="N69" i="2"/>
  <c r="N71" i="2"/>
  <c r="I71" i="2"/>
  <c r="M71" i="2"/>
  <c r="E69" i="2"/>
  <c r="E34" i="2"/>
  <c r="I80" i="2"/>
  <c r="I81" i="2" s="1"/>
  <c r="I82" i="2" s="1"/>
  <c r="J80" i="2"/>
  <c r="J81" i="2" s="1"/>
  <c r="J82" i="2" s="1"/>
  <c r="J67" i="2" a="1"/>
  <c r="J67" i="2" s="1"/>
  <c r="L69" i="2"/>
  <c r="L71" i="2"/>
  <c r="F71" i="2"/>
  <c r="F70" i="2"/>
  <c r="F69" i="2"/>
  <c r="F72" i="2"/>
  <c r="N41" i="2"/>
  <c r="N43" i="2" s="1"/>
  <c r="M41" i="2"/>
  <c r="M43" i="2" s="1"/>
  <c r="M40" i="2"/>
  <c r="M42" i="2" s="1"/>
  <c r="N40" i="2"/>
  <c r="N42" i="2" s="1"/>
  <c r="N70" i="2" l="1"/>
  <c r="N73" i="2" s="1"/>
  <c r="M70" i="2"/>
  <c r="M73" i="2" s="1"/>
  <c r="J72" i="2"/>
  <c r="J73" i="2" s="1"/>
  <c r="J74" i="2" s="1"/>
  <c r="J75" i="2" s="1"/>
  <c r="N72" i="2"/>
  <c r="N74" i="2" s="1"/>
  <c r="I72" i="2"/>
  <c r="I73" i="2" s="1"/>
  <c r="I74" i="2" s="1"/>
  <c r="I75" i="2" s="1"/>
  <c r="M72" i="2"/>
  <c r="M74" i="2" s="1"/>
  <c r="E71" i="2"/>
  <c r="N44" i="2"/>
  <c r="N45" i="2" s="1"/>
  <c r="N46" i="2" s="1"/>
  <c r="E36" i="2" s="1"/>
  <c r="M44" i="2"/>
  <c r="M45" i="2" s="1"/>
  <c r="M46" i="2" s="1"/>
  <c r="M75" i="2"/>
  <c r="N75" i="2" s="1"/>
  <c r="L70" i="2"/>
  <c r="L72" i="2"/>
  <c r="E70" i="2" l="1"/>
  <c r="M76" i="2"/>
  <c r="M78" i="2" s="1"/>
  <c r="N76" i="2"/>
  <c r="N78" i="2" s="1"/>
  <c r="E37" i="2"/>
  <c r="D133" i="1" s="1"/>
  <c r="N77" i="2"/>
  <c r="N79" i="2" s="1"/>
  <c r="M77" i="2"/>
  <c r="M79" i="2" s="1"/>
  <c r="M80" i="2" l="1"/>
  <c r="M81" i="2" s="1"/>
  <c r="M82" i="2" s="1"/>
  <c r="D134" i="1"/>
  <c r="D135" i="1" s="1"/>
  <c r="D147" i="1" s="1"/>
  <c r="D149" i="1" s="1"/>
  <c r="D201" i="1" s="1"/>
  <c r="N80" i="2"/>
  <c r="N81" i="2" s="1"/>
  <c r="N82" i="2" s="1"/>
  <c r="E73" i="2" l="1"/>
  <c r="D189" i="1" s="1"/>
  <c r="D190" i="1" s="1"/>
  <c r="D191" i="1" s="1"/>
  <c r="E72" i="2"/>
  <c r="D141" i="1"/>
  <c r="D143" i="1" s="1"/>
  <c r="D197" i="1" s="1"/>
  <c r="D221" i="1"/>
  <c r="D158" i="1" l="1"/>
  <c r="D159" i="1" s="1"/>
  <c r="D160" i="1" l="1"/>
  <c r="D161" i="1" s="1"/>
  <c r="D174" i="1"/>
  <c r="D176" i="1" s="1"/>
  <c r="D178" i="1" s="1"/>
  <c r="D192" i="1" s="1"/>
  <c r="D196" i="1" s="1"/>
  <c r="D198" i="1" s="1"/>
  <c r="D200" i="1" l="1"/>
  <c r="D202" i="1" s="1"/>
  <c r="D204" i="1" s="1"/>
  <c r="D2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<sst xmlns="http://schemas.openxmlformats.org/spreadsheetml/2006/main" count="543" uniqueCount="316">
  <si>
    <t>Design Vehicle</t>
  </si>
  <si>
    <t>Design Vehicle Data</t>
  </si>
  <si>
    <t>Crossing Geometric Data</t>
  </si>
  <si>
    <t>Right of Way Transfer Time Calculation</t>
  </si>
  <si>
    <t>Controller Manufacturer</t>
  </si>
  <si>
    <t>Controller Firmware Version</t>
  </si>
  <si>
    <t>Preempt verification and response time</t>
  </si>
  <si>
    <t>Worst-case conflicting vehicle time</t>
  </si>
  <si>
    <t>9a</t>
  </si>
  <si>
    <t>Worst-case conflicting pedestrian time</t>
  </si>
  <si>
    <t>Queue Clearance Time Calculation</t>
  </si>
  <si>
    <t>Are there left turns towards the tracks?</t>
  </si>
  <si>
    <t>Factor to account for slower acceleration on uphill grade</t>
  </si>
  <si>
    <t>Sufficient Warning Time Check</t>
  </si>
  <si>
    <t>Required minimum time (MT); seconds (per regulations)</t>
  </si>
  <si>
    <t>Track Clearance Green Time Calculation (if no Gate Down Circuit provided)</t>
  </si>
  <si>
    <t>Preempt Trap Check</t>
  </si>
  <si>
    <t>Warning Time Variability</t>
  </si>
  <si>
    <t>Clearing of Clear Storage Distance</t>
  </si>
  <si>
    <t>58a</t>
  </si>
  <si>
    <t>58b</t>
  </si>
  <si>
    <t>Is clear storage distance (CSD) less than or equal to the design vehicle length (DVL)?</t>
  </si>
  <si>
    <t>Maximum duration of Track Clearance Green after gates are down (in absence of gate down circuit)</t>
  </si>
  <si>
    <t>Summary of Controller Preemption Settings</t>
  </si>
  <si>
    <t>Right of Way Transfer Phase</t>
  </si>
  <si>
    <t>Track Clearance Phase</t>
  </si>
  <si>
    <t>Exit Phase</t>
  </si>
  <si>
    <t>Units</t>
  </si>
  <si>
    <t>feet</t>
  </si>
  <si>
    <t>%</t>
  </si>
  <si>
    <t>degrees</t>
  </si>
  <si>
    <t>Clear Storage Distance (CSD)</t>
  </si>
  <si>
    <t>Minimum Track Clearance Distance (MTCD)</t>
  </si>
  <si>
    <t>Stop Bar Setback Distance (SBD)</t>
  </si>
  <si>
    <t>Width of receiving approach (B)</t>
  </si>
  <si>
    <t>Approach grade (0 for flat or downgrade)</t>
  </si>
  <si>
    <t>Angle of turn at intersection (Θ)</t>
  </si>
  <si>
    <t>Default design vehicle length</t>
  </si>
  <si>
    <t>Additional vehicle length, if needed</t>
  </si>
  <si>
    <t>Total design vehicle length (DVL)</t>
  </si>
  <si>
    <t>Passenger car vehicle length (LV)</t>
  </si>
  <si>
    <t>Centerline turning radius of design vehicle (R)</t>
  </si>
  <si>
    <t>Design Vehicles</t>
  </si>
  <si>
    <t>School Bus</t>
  </si>
  <si>
    <t>Length</t>
  </si>
  <si>
    <t>Based on Design Vehicle</t>
  </si>
  <si>
    <t>Line 9 + Line 9a</t>
  </si>
  <si>
    <t>Turn Radius (R)</t>
  </si>
  <si>
    <t>Default value</t>
  </si>
  <si>
    <t>seconds</t>
  </si>
  <si>
    <t>Preempt delay time</t>
  </si>
  <si>
    <t>Controller response time to preempt</t>
  </si>
  <si>
    <t>Line 13 + Line 14</t>
  </si>
  <si>
    <t>Minimum green time during right-of-way transfer</t>
  </si>
  <si>
    <t>Other green time during right-of-way transfer</t>
  </si>
  <si>
    <t>Yellow change time</t>
  </si>
  <si>
    <t>Red clearance time</t>
  </si>
  <si>
    <t>Sum of Lines 16 through 19</t>
  </si>
  <si>
    <t>Sum of lines 21 through 24</t>
  </si>
  <si>
    <t>Minimum walk time during right-of-way transfer</t>
  </si>
  <si>
    <t>Pedestrian clearance time during right-of-way transfer</t>
  </si>
  <si>
    <t>Vehicle yellow change time, if not included in line 22</t>
  </si>
  <si>
    <t>mph</t>
  </si>
  <si>
    <t>Queue start-up distance (L)</t>
  </si>
  <si>
    <t>Time required for design vehicle to start moving</t>
  </si>
  <si>
    <t>Design vehicle clearance distance (DVCD)</t>
  </si>
  <si>
    <t>Time for design vehicle to accelerate through the DVCD (level terrain)</t>
  </si>
  <si>
    <t>Time for design vehicle to accelerate through the DVCD (adjusted for grade)</t>
  </si>
  <si>
    <t>Queue clearance time</t>
  </si>
  <si>
    <t>LT Options</t>
  </si>
  <si>
    <t>Yes</t>
  </si>
  <si>
    <t>No</t>
  </si>
  <si>
    <t>Line #</t>
  </si>
  <si>
    <t>LTL = πRΘ/180</t>
  </si>
  <si>
    <t>LTL</t>
  </si>
  <si>
    <t>SLTT</t>
  </si>
  <si>
    <t>Default Value</t>
  </si>
  <si>
    <t>Line 32</t>
  </si>
  <si>
    <t>If Yes:</t>
  </si>
  <si>
    <t>R</t>
  </si>
  <si>
    <t>Θ</t>
  </si>
  <si>
    <t>Sum of lines 1 through 3</t>
  </si>
  <si>
    <t>Enter "0" if no stop bar present</t>
  </si>
  <si>
    <t>Based on Design Vehicle (per AASHTO)</t>
  </si>
  <si>
    <t>[(Line 31 * 3600) / (Line 30 * 5280)] - Line 18 - Line 19</t>
  </si>
  <si>
    <t>Line 37 x Line 38</t>
  </si>
  <si>
    <t>Line 33 + Line 35 + Line 39</t>
  </si>
  <si>
    <t>Desired minimum separation time</t>
  </si>
  <si>
    <t>Line 27</t>
  </si>
  <si>
    <t>Line 40</t>
  </si>
  <si>
    <t>Typical Value is 4</t>
  </si>
  <si>
    <t>Sum of lines 41 through 43</t>
  </si>
  <si>
    <t>Clearance time (CT) (round up to nearest second)</t>
  </si>
  <si>
    <t>Total minimum warning time (MWT) needed
(excludes buffer and equipment response time)</t>
  </si>
  <si>
    <t>Line 45 + Line 46</t>
  </si>
  <si>
    <t>Line 44 - Line 47</t>
  </si>
  <si>
    <t>Distance</t>
  </si>
  <si>
    <t>Grade</t>
  </si>
  <si>
    <t>Bus</t>
  </si>
  <si>
    <t>Truck</t>
  </si>
  <si>
    <t>Variablity Options</t>
  </si>
  <si>
    <t>Consistent</t>
  </si>
  <si>
    <t>Low Variability</t>
  </si>
  <si>
    <t>High Variability</t>
  </si>
  <si>
    <t>Minimum duration for the track clearance green interval</t>
  </si>
  <si>
    <t>Track clearance green time to avoid preempt trap</t>
  </si>
  <si>
    <t>Line 53 + Line 54</t>
  </si>
  <si>
    <t>Higher of lines 48 and 49</t>
  </si>
  <si>
    <t>APT Multiplier</t>
  </si>
  <si>
    <t>Line 51 x Line 52</t>
  </si>
  <si>
    <t>Line 33</t>
  </si>
  <si>
    <t>Portion of CSD to clear during track clearance phase</t>
  </si>
  <si>
    <t>Design vehicle relocation distance (DVRD)</t>
  </si>
  <si>
    <t>Time required to accelerate design vehicle through DVRD</t>
  </si>
  <si>
    <t>Time required to accelerate design vehicle through DVRD, adjusted for grade</t>
  </si>
  <si>
    <t>Time to clear portion of clear storage distance</t>
  </si>
  <si>
    <t>Track clearance green interval (round up to nearest full second)</t>
  </si>
  <si>
    <t>Line 35</t>
  </si>
  <si>
    <t>Line 36</t>
  </si>
  <si>
    <t>Line 58 + Line 59</t>
  </si>
  <si>
    <t>Line 56 + Line 57 + Line 63</t>
  </si>
  <si>
    <t>Higher of lines 55 and 64</t>
  </si>
  <si>
    <t>CSD unless No to both 58a and 58b, then DVL</t>
  </si>
  <si>
    <t>Total time to complete track clearance green</t>
  </si>
  <si>
    <t>Total time before gates are down</t>
  </si>
  <si>
    <t>Maximum duration of Track Clearance Green after gates are down</t>
  </si>
  <si>
    <t>Line 27 + Line 65</t>
  </si>
  <si>
    <t>Line 44 - 5 (per AREMA manual)</t>
  </si>
  <si>
    <t>Line 66 - Line 67</t>
  </si>
  <si>
    <t>Duration Time</t>
  </si>
  <si>
    <t>Preempt Delay Time</t>
  </si>
  <si>
    <t>Line 13</t>
  </si>
  <si>
    <t>Line 16</t>
  </si>
  <si>
    <t>Line 21</t>
  </si>
  <si>
    <t>Line 22</t>
  </si>
  <si>
    <t>Line 18</t>
  </si>
  <si>
    <t>Line 19</t>
  </si>
  <si>
    <t>Line 65</t>
  </si>
  <si>
    <t>Minimum Green Interval</t>
  </si>
  <si>
    <t>Pedestrian Walk Interval</t>
  </si>
  <si>
    <t>Pedestrian Clearance Interval (flashing "DON'T WALK")</t>
  </si>
  <si>
    <t>Yellow Change Interval</t>
  </si>
  <si>
    <t>All Red Vehicle Clearance</t>
  </si>
  <si>
    <t>Green Interval (in absence of gate down circuit)</t>
  </si>
  <si>
    <t>Green Interval (with gate down circuit)</t>
  </si>
  <si>
    <t>Dwell/Cycle Minimum Green Time</t>
  </si>
  <si>
    <t>Time</t>
  </si>
  <si>
    <t>DV</t>
  </si>
  <si>
    <t>Factor</t>
  </si>
  <si>
    <t>Level Accel</t>
  </si>
  <si>
    <r>
      <t>ft/s</t>
    </r>
    <r>
      <rPr>
        <vertAlign val="superscript"/>
        <sz val="10"/>
        <color theme="1"/>
        <rFont val="Arial"/>
        <family val="2"/>
      </rPr>
      <t>2</t>
    </r>
  </si>
  <si>
    <t>Accel</t>
  </si>
  <si>
    <t>Sqrt(2d/a)</t>
  </si>
  <si>
    <t>From TxDOT Table 2</t>
  </si>
  <si>
    <t>(Line 2 - 35) / 10</t>
  </si>
  <si>
    <t>Maximum Vehicle Preemption Time Calculation</t>
  </si>
  <si>
    <t>Maximum Pedestrian Preemption Time Calculation</t>
  </si>
  <si>
    <t>Right-of-way Transfer Time</t>
  </si>
  <si>
    <t>Vehicle right-of-way transfer time</t>
  </si>
  <si>
    <t>Pedestrian right-of-way transfer time</t>
  </si>
  <si>
    <t>Line 15 + Line 20</t>
  </si>
  <si>
    <t>Line 15 + Line 25</t>
  </si>
  <si>
    <t>Line 26</t>
  </si>
  <si>
    <t>Required advance vehicle preemption time (AVPT) from railroad (round up to nearest second, minimum 0)</t>
  </si>
  <si>
    <t>AVPT currently provided by railroad
(enter 0 for new crossing or signal)</t>
  </si>
  <si>
    <t>41p</t>
  </si>
  <si>
    <t>42p</t>
  </si>
  <si>
    <t>43p</t>
  </si>
  <si>
    <t>44p</t>
  </si>
  <si>
    <t>48p</t>
  </si>
  <si>
    <t>AVPT required or provided</t>
  </si>
  <si>
    <t>Multiplier for maximum AVPT due to train handling</t>
  </si>
  <si>
    <t>Maximum AVPT</t>
  </si>
  <si>
    <t>66p</t>
  </si>
  <si>
    <t>67p</t>
  </si>
  <si>
    <t>68p</t>
  </si>
  <si>
    <t>Line 26 + Line 65</t>
  </si>
  <si>
    <t>Line 44p - 5 (per AREMA manual)</t>
  </si>
  <si>
    <t>Vehicle</t>
  </si>
  <si>
    <t>Pedestrian</t>
  </si>
  <si>
    <t>68x</t>
  </si>
  <si>
    <t>Line 2 + Line 3 + Line 10</t>
  </si>
  <si>
    <t>2 + (L/20)</t>
  </si>
  <si>
    <t>Comments / Formula</t>
  </si>
  <si>
    <t>Default Value - Ensures a preempt call is not dropped unnecessarily</t>
  </si>
  <si>
    <t>Default Value - Ensures preemption entered as soon as possible in case of 2nd train.</t>
  </si>
  <si>
    <t>Line 43</t>
  </si>
  <si>
    <t>49p</t>
  </si>
  <si>
    <t>Grade Range</t>
  </si>
  <si>
    <t>Grade Factor</t>
  </si>
  <si>
    <t>Location Data</t>
  </si>
  <si>
    <t>Railroad Data</t>
  </si>
  <si>
    <t>CSD = Clear Storage Distance (feet)</t>
  </si>
  <si>
    <t>MTCD = Minimum Track Clearance Distance (feet)</t>
  </si>
  <si>
    <t>SBD = Stop Bar Setback Distance (feet)</t>
  </si>
  <si>
    <t>Intersection Geometric Measurements</t>
  </si>
  <si>
    <t>DVL = Design Vehicle Length (feet)</t>
  </si>
  <si>
    <t>L = Queue start-up distance / Rail crossing stop line distance (L)</t>
  </si>
  <si>
    <t>DVCD = Design Vehicle Clearance Distance (feet)</t>
  </si>
  <si>
    <t>B = Distance from edge/curb line to center of nearest lane receiving left turns (feet)</t>
  </si>
  <si>
    <t>Θ = Angle of turn (degrees)</t>
  </si>
  <si>
    <t>Definitions</t>
  </si>
  <si>
    <t>Basic Geometric and Design Vehicle Data</t>
  </si>
  <si>
    <t>Basic Settings</t>
  </si>
  <si>
    <t>If the required AVPT (line 48) and APPT (line 48p) are greater than the amount of advance preemption time currently provided by the railroad for Advance Preemption (line 49) and Advance Pedestrian Preemption (line 49p), additional warning time must be requested from the railroad.</t>
  </si>
  <si>
    <t>Maximum Preemption Time Calculations</t>
  </si>
  <si>
    <t>Remarks:</t>
  </si>
  <si>
    <r>
      <t>O</t>
    </r>
    <r>
      <rPr>
        <vertAlign val="subscript"/>
        <sz val="11"/>
        <color theme="1"/>
        <rFont val="Arial"/>
        <family val="2"/>
      </rPr>
      <t>SB</t>
    </r>
    <r>
      <rPr>
        <sz val="11"/>
        <color theme="1"/>
        <rFont val="Arial"/>
        <family val="2"/>
      </rPr>
      <t xml:space="preserve"> = Offset distance to left-turn Stop Bar (feet)</t>
    </r>
  </si>
  <si>
    <r>
      <t>Offset distance of left turn stop bar (O</t>
    </r>
    <r>
      <rPr>
        <vertAlign val="subscript"/>
        <sz val="11"/>
        <color theme="1"/>
        <rFont val="Arial"/>
        <family val="2"/>
      </rPr>
      <t>SB</t>
    </r>
    <r>
      <rPr>
        <sz val="11"/>
        <color theme="1"/>
        <rFont val="Arial"/>
        <family val="2"/>
      </rPr>
      <t>)</t>
    </r>
  </si>
  <si>
    <t>Vehicle red clearance time</t>
  </si>
  <si>
    <t>Maximum preemption time for Queue Clearance without Peds</t>
  </si>
  <si>
    <t>Maximum preemption time for Queue Clearance with Peds</t>
  </si>
  <si>
    <t>Time waiting on left turning truck</t>
  </si>
  <si>
    <t>Should the design vehicle clear the entire CSD?</t>
  </si>
  <si>
    <t>See Instructions</t>
  </si>
  <si>
    <t>Line 61 x Line 62</t>
  </si>
  <si>
    <t>Check Lines 68 and 68p match</t>
  </si>
  <si>
    <t>Line 66p - Line 67p</t>
  </si>
  <si>
    <t>Note: Printing this sheet is optional</t>
  </si>
  <si>
    <t>WSDOT RR Preemption Timing Worksheet - Supporting Data for Calculations</t>
  </si>
  <si>
    <t>Worst-case conflicting vehicle phase number</t>
  </si>
  <si>
    <t>Worst-case conflicting pedestrian phase number</t>
  </si>
  <si>
    <t>Dist Exact</t>
  </si>
  <si>
    <t>DVCD</t>
  </si>
  <si>
    <t>Grade Exact</t>
  </si>
  <si>
    <t>Both Exact</t>
  </si>
  <si>
    <t>Exact (Table)</t>
  </si>
  <si>
    <t>Dist Range</t>
  </si>
  <si>
    <t>Delta</t>
  </si>
  <si>
    <t>Lower Dist Factor</t>
  </si>
  <si>
    <t>Upper Dist Factor</t>
  </si>
  <si>
    <t>Lower Grade Factor</t>
  </si>
  <si>
    <t>Upper Grade Factor</t>
  </si>
  <si>
    <t>Slope (per ft)</t>
  </si>
  <si>
    <t>Slope (per %)</t>
  </si>
  <si>
    <t>Grade &amp; Dist Exact</t>
  </si>
  <si>
    <t>Only Grade Exact</t>
  </si>
  <si>
    <t>Only Dist. Exact</t>
  </si>
  <si>
    <t>Neither Exact</t>
  </si>
  <si>
    <t>Base Factors</t>
  </si>
  <si>
    <t>Delta Dist</t>
  </si>
  <si>
    <t>Delta Grade Factors</t>
  </si>
  <si>
    <t>Slope Grade Factors (per %)</t>
  </si>
  <si>
    <t>Final Grade Factor</t>
  </si>
  <si>
    <t>Use</t>
  </si>
  <si>
    <t>Distance (DVRD)</t>
  </si>
  <si>
    <t>DVRD</t>
  </si>
  <si>
    <t>Distance (DVCD)</t>
  </si>
  <si>
    <t xml:space="preserve">Completed by: </t>
  </si>
  <si>
    <t xml:space="preserve">Date: </t>
  </si>
  <si>
    <t xml:space="preserve">City: </t>
  </si>
  <si>
    <t xml:space="preserve">County: </t>
  </si>
  <si>
    <t xml:space="preserve">WSDOT Region: </t>
  </si>
  <si>
    <t xml:space="preserve">State Route: </t>
  </si>
  <si>
    <t xml:space="preserve">State Route Milepost (SRMP): </t>
  </si>
  <si>
    <t xml:space="preserve">State Route Accumulated Route Mileage (ARM): </t>
  </si>
  <si>
    <t xml:space="preserve">Parallel Street: </t>
  </si>
  <si>
    <t xml:space="preserve">Crossing Street: </t>
  </si>
  <si>
    <t xml:space="preserve">Railroad: </t>
  </si>
  <si>
    <t xml:space="preserve">Railroad Contact: </t>
  </si>
  <si>
    <t xml:space="preserve">Railroad Contact E-mail: </t>
  </si>
  <si>
    <t xml:space="preserve">Railroad Contact Phone #: </t>
  </si>
  <si>
    <t xml:space="preserve">Rail Crossing DOT#: </t>
  </si>
  <si>
    <t xml:space="preserve">Maximum Expected Train Speed (MPH): </t>
  </si>
  <si>
    <t>28a</t>
  </si>
  <si>
    <t>28b</t>
  </si>
  <si>
    <t>Left Turn Design Vehicle (LTDV)</t>
  </si>
  <si>
    <t>LTDV Length</t>
  </si>
  <si>
    <t>28c</t>
  </si>
  <si>
    <t>28d</t>
  </si>
  <si>
    <t>Total LTDV Length</t>
  </si>
  <si>
    <t>Line 28b + Line 28c</t>
  </si>
  <si>
    <t>Additional LTDV length, if needed</t>
  </si>
  <si>
    <t>Distance traveled by LTDV during left turn (LTL)</t>
  </si>
  <si>
    <t>Travel speed of LTDV (SLTT)</t>
  </si>
  <si>
    <t>Distance required to clear LTDV from travel lanes on track clearance approach</t>
  </si>
  <si>
    <t>Additional time required to clear LTDV from travel lanes on track clearance approach</t>
  </si>
  <si>
    <t>(Line 4 + Line 5 + Line 12 - Line 11) + Line 29 + Line 28d</t>
  </si>
  <si>
    <t>WB-67 Truck</t>
  </si>
  <si>
    <t>WB-40 Truck</t>
  </si>
  <si>
    <t>Other Truck</t>
  </si>
  <si>
    <t>Worst-case LTDV time</t>
  </si>
  <si>
    <t>Intersection Orientations</t>
  </si>
  <si>
    <t>N</t>
  </si>
  <si>
    <t>NNW</t>
  </si>
  <si>
    <t>NW</t>
  </si>
  <si>
    <t>WNW</t>
  </si>
  <si>
    <t>W</t>
  </si>
  <si>
    <t>WSW</t>
  </si>
  <si>
    <t>SW</t>
  </si>
  <si>
    <t>SSW</t>
  </si>
  <si>
    <t>S</t>
  </si>
  <si>
    <t>SSE</t>
  </si>
  <si>
    <t>SE</t>
  </si>
  <si>
    <t>ESE</t>
  </si>
  <si>
    <t>E</t>
  </si>
  <si>
    <t>ENE</t>
  </si>
  <si>
    <t>NE</t>
  </si>
  <si>
    <t>NNE</t>
  </si>
  <si>
    <t>Additional APPT currently provided by railroad
(enter 0 for new crossing or signal)</t>
  </si>
  <si>
    <t>47a</t>
  </si>
  <si>
    <t>Buffer Time (BT) (from railroad)</t>
  </si>
  <si>
    <t>Typical Value is 10</t>
  </si>
  <si>
    <t>Equipment Response Time (ERT) (from railroad)</t>
  </si>
  <si>
    <t>48a</t>
  </si>
  <si>
    <t>48pa</t>
  </si>
  <si>
    <t>Line 48a + Line 48p;
Turns orange if TAT-P &gt; 54 seconds</t>
  </si>
  <si>
    <t>47b</t>
  </si>
  <si>
    <t>Total Approach Time - Vehicles (TAT-V)</t>
  </si>
  <si>
    <t>Total Approach Time - Pedestrians (TAT-P)</t>
  </si>
  <si>
    <t>Required additional advance pedestrian preemption time (APPT) from railroad (round up to nearest second, minimum 0)</t>
  </si>
  <si>
    <t>Line 44p - Line 47 - Line 48;</t>
  </si>
  <si>
    <t>Time in addition to AVPT (line 48)</t>
  </si>
  <si>
    <t xml:space="preserve">Reference Direction Compass Bearing (closest): </t>
  </si>
  <si>
    <t>Railroad-Traffic Signal Preemption Timing Worksheet</t>
  </si>
  <si>
    <t>Enter items in green (shaded)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</si>
</sst>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1" x14ac:knownFonts="1">
    <font>
      <sz val="10"/>
      <color theme="1"/>
      <name val="Arial"/>
      <family val="2"/>
    </font>
    <font>
      <b/>
      <sz val="10"/>
      <color theme="1"/>
      <name val="Arial"/>
      <family val="2"/>
    </font>
    <font>
      <vertAlign val="superscript"/>
      <sz val="10"/>
      <color theme="1"/>
      <name val="Arial"/>
      <family val="2"/>
    </font>
    <font>
      <b/>
      <sz val="18"/>
      <color theme="1"/>
      <name val="Arial"/>
      <family val="2"/>
    </font>
    <font>
      <i/>
      <sz val="11"/>
      <color theme="1"/>
      <name val="Arial"/>
      <family val="2"/>
    </font>
    <font>
      <sz val="11"/>
      <color theme="1"/>
      <name val="Arial"/>
      <family val="2"/>
    </font>
    <font>
      <b/>
      <sz val="11"/>
      <color theme="1"/>
      <name val="Arial"/>
      <family val="2"/>
    </font>
    <font>
      <b/>
      <i/>
      <sz val="11"/>
      <color theme="1"/>
      <name val="Arial"/>
      <family val="2"/>
    </font>
    <font>
      <vertAlign val="subscript"/>
      <sz val="11"/>
      <color theme="1"/>
      <name val="Arial"/>
      <family val="2"/>
    </font>
    <font>
      <i/>
      <sz val="10"/>
      <color theme="1"/>
      <name val="Arial"/>
      <family val="2"/>
    </font>
    <font>
      <u/>
      <sz val="10"/>
      <color theme="1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80">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right"/>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vertical="center"/>
    </xf>
    <xf numFmtId="0" fontId="1" fillId="0" borderId="0" xfId="0" applyFont="1" applyAlignment="1">
      <alignment vertical="center"/>
    </xf>
    <xf numFmtId="16" fontId="0" fillId="0" borderId="1" xfId="0" quotePrefix="1" applyNumberFormat="1" applyBorder="1" applyAlignment="1">
      <alignment horizontal="center"/>
    </xf>
    <xf numFmtId="0" fontId="0" fillId="0" borderId="1" xfId="0" quotePrefix="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0" fillId="0" borderId="7" xfId="0" applyBorder="1" applyAlignment="1">
      <alignment horizontal="center" vertical="center"/>
    </xf>
    <xf numFmtId="0" fontId="6" fillId="0" borderId="7" xfId="0" applyFont="1" applyBorder="1" applyAlignment="1">
      <alignment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0" fontId="5" fillId="0" borderId="7" xfId="0" applyFont="1" applyBorder="1" applyAlignment="1">
      <alignment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horizontal="center" vertical="center"/>
    </xf>
    <xf numFmtId="0" fontId="0" fillId="3" borderId="0" xfId="0" applyFill="1" applyAlignment="1">
      <alignment horizontal="center" vertical="center"/>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1" fontId="5" fillId="0" borderId="1" xfId="0" applyNumberFormat="1" applyFont="1" applyBorder="1" applyAlignment="1">
      <alignment horizontal="center" vertical="center"/>
    </xf>
    <xf numFmtId="0" fontId="4" fillId="0" borderId="0" xfId="0" applyFont="1" applyAlignment="1">
      <alignment vertical="center"/>
    </xf>
    <xf numFmtId="1" fontId="5" fillId="0" borderId="2" xfId="0" applyNumberFormat="1" applyFont="1" applyBorder="1" applyAlignment="1">
      <alignment horizontal="center" vertical="center"/>
    </xf>
    <xf numFmtId="0" fontId="4" fillId="0" borderId="0" xfId="0" applyFont="1" applyAlignment="1">
      <alignment vertical="center" wrapText="1"/>
    </xf>
    <xf numFmtId="1" fontId="5" fillId="0" borderId="0" xfId="0" applyNumberFormat="1" applyFont="1" applyAlignment="1">
      <alignment horizontal="center"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0" fillId="0" borderId="0" xfId="0" quotePrefix="1"/>
    <xf numFmtId="2" fontId="0" fillId="0" borderId="1" xfId="0" applyNumberFormat="1" applyBorder="1" applyAlignment="1">
      <alignment horizontal="center"/>
    </xf>
    <xf numFmtId="2" fontId="0" fillId="0" borderId="0" xfId="0" applyNumberFormat="1"/>
    <xf numFmtId="0" fontId="0" fillId="0" borderId="0" xfId="0" applyAlignment="1">
      <alignment horizontal="left"/>
    </xf>
    <xf numFmtId="0" fontId="0" fillId="0" borderId="1" xfId="0" applyBorder="1" applyAlignment="1">
      <alignment horizontal="left"/>
    </xf>
    <xf numFmtId="165" fontId="0" fillId="0" borderId="1" xfId="0" applyNumberFormat="1" applyBorder="1" applyAlignment="1">
      <alignment horizontal="center"/>
    </xf>
    <xf numFmtId="0" fontId="0" fillId="0" borderId="4" xfId="0" applyBorder="1" applyAlignment="1">
      <alignment horizontal="left"/>
    </xf>
    <xf numFmtId="0" fontId="0" fillId="0" borderId="6" xfId="0" applyBorder="1" applyAlignment="1">
      <alignment horizontal="left"/>
    </xf>
    <xf numFmtId="0" fontId="5" fillId="0" borderId="0" xfId="0" applyFont="1" applyAlignment="1">
      <alignment horizontal="left" vertical="center"/>
    </xf>
    <xf numFmtId="0" fontId="5" fillId="3" borderId="2" xfId="0" applyFont="1" applyFill="1" applyBorder="1" applyAlignment="1">
      <alignment horizontal="center" vertical="center"/>
    </xf>
    <xf numFmtId="1" fontId="5" fillId="3" borderId="5" xfId="0" applyNumberFormat="1" applyFont="1" applyFill="1" applyBorder="1" applyAlignment="1">
      <alignment horizontal="center" vertical="center"/>
    </xf>
    <xf numFmtId="0" fontId="5" fillId="0" borderId="5" xfId="0" applyFont="1" applyBorder="1" applyAlignment="1">
      <alignment horizontal="center" vertical="center"/>
    </xf>
    <xf numFmtId="1" fontId="5" fillId="0" borderId="5" xfId="0" applyNumberFormat="1" applyFont="1" applyBorder="1" applyAlignment="1">
      <alignment horizontal="center" vertical="center"/>
    </xf>
    <xf numFmtId="0" fontId="5" fillId="0" borderId="12" xfId="0" applyFont="1" applyBorder="1" applyAlignment="1">
      <alignment vertical="center" wrapText="1"/>
    </xf>
    <xf numFmtId="0" fontId="5" fillId="2" borderId="1" xfId="0" applyFont="1" applyFill="1" applyBorder="1" applyAlignment="1" applyProtection="1">
      <alignment horizontal="center" vertical="center"/>
      <protection locked="0"/>
    </xf>
    <xf numFmtId="0" fontId="10" fillId="2" borderId="1" xfId="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0" xfId="0" applyFont="1" applyAlignment="1">
      <alignment horizontal="right" vertical="center"/>
    </xf>
  </cellXfs>
  <cellStyles count="2">
    <cellStyle name="Hyperlink" xfId="1" builtinId="8"/>
    <cellStyle name="Normal" xfId="0" builtinId="0"/>
  </cellStyles>
  <dxfs count="2">
    <dxf>
      <fill>
        <patternFill>
          <bgColor theme="5" tint="0.39994506668294322"/>
        </patternFill>
      </fill>
    </dxf>
    <dxf>
      <fill>
        <patternFill patternType="solid">
          <fgColor auto="1"/>
          <bgColor rgb="FFFF7575"/>
        </patternFill>
      </fill>
    </dxf>
  </dxfs>
  <tableStyles count="0" defaultTableStyle="TableStyleMedium2" defaultPivotStyle="PivotStyleLight16"/>
  <colors>
    <mruColors>
      <color rgb="FFFF7575"/>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6</xdr:col>
      <xdr:colOff>42918</xdr:colOff>
      <xdr:row>5</xdr:row>
      <xdr:rowOff>48411</xdr:rowOff>
    </xdr:from>
    <xdr:to>
      <xdr:col>7</xdr:col>
      <xdr:colOff>1135828</xdr:colOff>
      <xdr:row>21</xdr:row>
      <xdr:rowOff>143549</xdr:rowOff>
    </xdr:to>
    <xdr:pic>
      <xdr:nvPicPr>
        <xdr:cNvPr id="3" name="Picture 2" descr="Graphic of a basic four way intersection with a railroad crossing the bottom leg and a traffic signal symbol in the center.">
          <a:extLst>
            <a:ext uri="{FF2B5EF4-FFF2-40B4-BE49-F238E27FC236}">
              <a16:creationId xmlns:a16="http://schemas.microsoft.com/office/drawing/2014/main" id="{7D07C3DF-604E-4EFE-9C39-92759A5350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2" t="3631" r="2643" b="4800"/>
        <a:stretch/>
      </xdr:blipFill>
      <xdr:spPr>
        <a:xfrm>
          <a:off x="6374242" y="1650852"/>
          <a:ext cx="3614233" cy="2784550"/>
        </a:xfrm>
        <a:prstGeom prst="rect">
          <a:avLst/>
        </a:prstGeom>
      </xdr:spPr>
    </xdr:pic>
    <xdr:clientData/>
  </xdr:twoCellAnchor>
  <xdr:twoCellAnchor editAs="oneCell">
    <xdr:from>
      <xdr:col>2</xdr:col>
      <xdr:colOff>81300</xdr:colOff>
      <xdr:row>31</xdr:row>
      <xdr:rowOff>97472</xdr:rowOff>
    </xdr:from>
    <xdr:to>
      <xdr:col>7</xdr:col>
      <xdr:colOff>956855</xdr:colOff>
      <xdr:row>60</xdr:row>
      <xdr:rowOff>75883</xdr:rowOff>
    </xdr:to>
    <xdr:pic>
      <xdr:nvPicPr>
        <xdr:cNvPr id="7" name="Picture 6">
          <a:extLst>
            <a:ext uri="{FF2B5EF4-FFF2-40B4-BE49-F238E27FC236}">
              <a16:creationId xmlns:a16="http://schemas.microsoft.com/office/drawing/2014/main" id="{60ED71C1-DDE2-454A-99CD-A7CBC1F9B3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9967" b="9967"/>
        <a:stretch/>
      </xdr:blipFill>
      <xdr:spPr>
        <a:xfrm>
          <a:off x="686418" y="5229766"/>
          <a:ext cx="9401550" cy="4852969"/>
        </a:xfrm>
        <a:prstGeom prst="rect">
          <a:avLst/>
        </a:prstGeom>
      </xdr:spPr>
    </xdr:pic>
    <xdr:clientData/>
  </xdr:twoCellAnchor>
  <xdr:twoCellAnchor editAs="oneCell">
    <xdr:from>
      <xdr:col>2</xdr:col>
      <xdr:colOff>0</xdr:colOff>
      <xdr:row>1</xdr:row>
      <xdr:rowOff>0</xdr:rowOff>
    </xdr:from>
    <xdr:to>
      <xdr:col>2</xdr:col>
      <xdr:colOff>3524250</xdr:colOff>
      <xdr:row>1</xdr:row>
      <xdr:rowOff>552361</xdr:rowOff>
    </xdr:to>
    <xdr:pic>
      <xdr:nvPicPr>
        <xdr:cNvPr id="4" name="Picture 3">
          <a:extLst>
            <a:ext uri="{FF2B5EF4-FFF2-40B4-BE49-F238E27FC236}">
              <a16:creationId xmlns:a16="http://schemas.microsoft.com/office/drawing/2014/main" id="{2DFEB424-D808-4EE3-9246-A7A687D55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1980" y="167640"/>
          <a:ext cx="3512820" cy="567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1F1C-A5F9-4259-94AF-28C45EF69A14}">
  <sheetPr>
    <pageSetUpPr fitToPage="1"/>
  </sheetPr>
  <dimension ref="B2:I228"/>
  <sheetViews>
    <sheetView tabSelected="1" zoomScale="85" zoomScaleNormal="85" zoomScaleSheetLayoutView="40" workbookViewId="0">
      <selection activeCell="C17" sqref="C17"/>
    </sheetView>
  </sheetViews>
  <sheetFormatPr defaultColWidth="8.85546875" defaultRowHeight="12.75" x14ac:dyDescent="0.2"/>
  <cols>
    <col min="1" max="1" width="2.7109375" style="3" customWidth="1"/>
    <col min="2" max="2" width="6" style="16" bestFit="1" customWidth="1"/>
    <col min="3" max="3" width="58.7109375" style="3" customWidth="1"/>
    <col min="4" max="4" width="16" style="16" bestFit="1" customWidth="1"/>
    <col min="5" max="5" width="8.85546875" style="16"/>
    <col min="6" max="6" width="2.7109375" style="16" customWidth="1"/>
    <col min="7" max="7" width="37.85546875" style="17" customWidth="1"/>
    <col min="8" max="8" width="26.28515625" style="3" customWidth="1"/>
    <col min="9" max="9" width="6.140625" style="3" customWidth="1"/>
    <col min="10" max="12" width="8.85546875" style="3"/>
    <col min="13" max="13" width="16.28515625" style="3" bestFit="1" customWidth="1"/>
    <col min="14" max="14" width="6.42578125" style="3" bestFit="1" customWidth="1"/>
    <col min="15" max="15" width="14" style="3" bestFit="1" customWidth="1"/>
    <col min="16" max="16384" width="8.85546875" style="3"/>
  </cols>
  <sheetData>
    <row r="2" spans="3:8" ht="46.9" customHeight="1" x14ac:dyDescent="0.2"/>
    <row r="3" spans="3:8" ht="28.15" customHeight="1" x14ac:dyDescent="0.2">
      <c r="C3" s="18" t="s">
        <v>314</v>
      </c>
      <c r="H3" s="79"/>
    </row>
    <row r="4" spans="3:8" ht="28.15" customHeight="1" x14ac:dyDescent="0.2">
      <c r="C4" s="18"/>
    </row>
    <row r="5" spans="3:8" ht="12" customHeight="1" x14ac:dyDescent="0.2">
      <c r="D5" s="45" t="s">
        <v>315</v>
      </c>
    </row>
    <row r="6" spans="3:8" ht="14.25" x14ac:dyDescent="0.2">
      <c r="C6" s="19" t="s">
        <v>248</v>
      </c>
      <c r="D6" s="68"/>
      <c r="E6" s="68"/>
      <c r="F6" s="20"/>
      <c r="G6" s="21"/>
      <c r="H6" s="22"/>
    </row>
    <row r="7" spans="3:8" ht="14.25" x14ac:dyDescent="0.2">
      <c r="C7" s="19" t="s">
        <v>249</v>
      </c>
      <c r="D7" s="70"/>
      <c r="E7" s="70"/>
      <c r="F7" s="20"/>
      <c r="G7" s="21"/>
      <c r="H7" s="22"/>
    </row>
    <row r="8" spans="3:8" ht="6" customHeight="1" x14ac:dyDescent="0.2">
      <c r="C8" s="22"/>
      <c r="D8" s="62"/>
      <c r="E8" s="20"/>
      <c r="F8" s="20"/>
      <c r="G8" s="21"/>
      <c r="H8" s="22"/>
    </row>
    <row r="9" spans="3:8" ht="15" x14ac:dyDescent="0.2">
      <c r="C9" s="23" t="s">
        <v>190</v>
      </c>
      <c r="D9" s="62"/>
      <c r="E9" s="20"/>
      <c r="F9" s="20"/>
      <c r="G9" s="21"/>
      <c r="H9" s="22"/>
    </row>
    <row r="10" spans="3:8" ht="14.25" x14ac:dyDescent="0.2">
      <c r="C10" s="24" t="s">
        <v>250</v>
      </c>
      <c r="D10" s="68"/>
      <c r="E10" s="68"/>
      <c r="F10" s="20"/>
      <c r="G10" s="21"/>
      <c r="H10" s="22"/>
    </row>
    <row r="11" spans="3:8" ht="14.25" x14ac:dyDescent="0.2">
      <c r="C11" s="24" t="s">
        <v>251</v>
      </c>
      <c r="D11" s="68"/>
      <c r="E11" s="68"/>
      <c r="F11" s="20"/>
      <c r="G11" s="21"/>
      <c r="H11" s="22"/>
    </row>
    <row r="12" spans="3:8" ht="14.25" x14ac:dyDescent="0.2">
      <c r="C12" s="24" t="s">
        <v>252</v>
      </c>
      <c r="D12" s="68"/>
      <c r="E12" s="68"/>
      <c r="F12" s="20"/>
      <c r="G12" s="21"/>
      <c r="H12" s="22"/>
    </row>
    <row r="13" spans="3:8" ht="14.25" x14ac:dyDescent="0.2">
      <c r="C13" s="24"/>
      <c r="D13" s="20"/>
      <c r="E13" s="20"/>
      <c r="F13" s="20"/>
      <c r="G13" s="21"/>
      <c r="H13" s="22"/>
    </row>
    <row r="14" spans="3:8" ht="14.25" x14ac:dyDescent="0.2">
      <c r="C14" s="24" t="s">
        <v>253</v>
      </c>
      <c r="D14" s="68"/>
      <c r="E14" s="68"/>
      <c r="F14" s="20"/>
      <c r="G14" s="21"/>
      <c r="H14" s="22"/>
    </row>
    <row r="15" spans="3:8" ht="14.25" x14ac:dyDescent="0.2">
      <c r="C15" s="24" t="s">
        <v>254</v>
      </c>
      <c r="D15" s="68"/>
      <c r="E15" s="68"/>
      <c r="F15" s="20"/>
      <c r="G15" s="21"/>
      <c r="H15" s="22"/>
    </row>
    <row r="16" spans="3:8" ht="14.25" x14ac:dyDescent="0.2">
      <c r="C16" s="24" t="s">
        <v>255</v>
      </c>
      <c r="D16" s="68"/>
      <c r="E16" s="68"/>
      <c r="F16" s="20"/>
      <c r="G16" s="21"/>
      <c r="H16" s="22"/>
    </row>
    <row r="17" spans="3:8" ht="14.25" x14ac:dyDescent="0.2">
      <c r="C17" s="24" t="s">
        <v>256</v>
      </c>
      <c r="D17" s="68"/>
      <c r="E17" s="68"/>
      <c r="F17" s="20"/>
      <c r="G17" s="21"/>
      <c r="H17" s="22"/>
    </row>
    <row r="18" spans="3:8" ht="14.25" x14ac:dyDescent="0.2">
      <c r="C18" s="24" t="s">
        <v>257</v>
      </c>
      <c r="D18" s="68"/>
      <c r="E18" s="68"/>
      <c r="F18" s="20"/>
      <c r="G18" s="21"/>
      <c r="H18" s="22"/>
    </row>
    <row r="19" spans="3:8" ht="14.25" x14ac:dyDescent="0.2">
      <c r="C19" s="24" t="s">
        <v>313</v>
      </c>
      <c r="D19" s="68"/>
      <c r="E19" s="68"/>
      <c r="F19" s="20"/>
      <c r="G19" s="21"/>
      <c r="H19" s="22"/>
    </row>
    <row r="20" spans="3:8" ht="6" customHeight="1" x14ac:dyDescent="0.2">
      <c r="C20" s="24"/>
      <c r="D20" s="20"/>
      <c r="E20" s="20"/>
      <c r="F20" s="20"/>
      <c r="G20" s="21"/>
      <c r="H20" s="22"/>
    </row>
    <row r="21" spans="3:8" ht="15" x14ac:dyDescent="0.2">
      <c r="C21" s="25" t="s">
        <v>191</v>
      </c>
      <c r="D21" s="22"/>
      <c r="E21" s="20"/>
      <c r="F21" s="20"/>
      <c r="G21" s="21"/>
      <c r="H21" s="22"/>
    </row>
    <row r="22" spans="3:8" ht="14.25" x14ac:dyDescent="0.2">
      <c r="C22" s="19" t="s">
        <v>258</v>
      </c>
      <c r="D22" s="68"/>
      <c r="E22" s="68"/>
      <c r="F22" s="20"/>
      <c r="G22" s="21"/>
      <c r="H22" s="22"/>
    </row>
    <row r="23" spans="3:8" ht="14.25" x14ac:dyDescent="0.2">
      <c r="C23" s="19" t="s">
        <v>259</v>
      </c>
      <c r="D23" s="68"/>
      <c r="E23" s="68"/>
      <c r="F23" s="20"/>
      <c r="G23" s="21"/>
      <c r="H23" s="22"/>
    </row>
    <row r="24" spans="3:8" ht="14.25" x14ac:dyDescent="0.2">
      <c r="C24" s="19" t="s">
        <v>260</v>
      </c>
      <c r="D24" s="69"/>
      <c r="E24" s="69"/>
      <c r="F24" s="20"/>
      <c r="G24" s="21"/>
      <c r="H24" s="22"/>
    </row>
    <row r="25" spans="3:8" ht="14.25" x14ac:dyDescent="0.2">
      <c r="C25" s="19" t="s">
        <v>261</v>
      </c>
      <c r="D25" s="68"/>
      <c r="E25" s="68"/>
      <c r="F25" s="20"/>
      <c r="G25" s="21"/>
      <c r="H25" s="22"/>
    </row>
    <row r="26" spans="3:8" ht="14.25" x14ac:dyDescent="0.2">
      <c r="C26" s="19" t="s">
        <v>262</v>
      </c>
      <c r="D26" s="68"/>
      <c r="E26" s="68"/>
      <c r="F26" s="20"/>
      <c r="G26" s="21"/>
      <c r="H26" s="22"/>
    </row>
    <row r="27" spans="3:8" ht="14.25" x14ac:dyDescent="0.2">
      <c r="C27" s="19" t="s">
        <v>263</v>
      </c>
      <c r="D27" s="68"/>
      <c r="E27" s="68"/>
      <c r="F27" s="20"/>
      <c r="G27" s="21"/>
      <c r="H27" s="22"/>
    </row>
    <row r="28" spans="3:8" ht="14.25" x14ac:dyDescent="0.2">
      <c r="C28" s="19"/>
      <c r="D28" s="20"/>
      <c r="E28" s="20"/>
      <c r="F28" s="20"/>
      <c r="G28" s="21"/>
      <c r="H28" s="22"/>
    </row>
    <row r="29" spans="3:8" ht="14.25" x14ac:dyDescent="0.2">
      <c r="C29" s="19"/>
      <c r="D29" s="20"/>
      <c r="E29" s="20"/>
      <c r="F29" s="20"/>
      <c r="G29" s="21"/>
      <c r="H29" s="22"/>
    </row>
    <row r="30" spans="3:8" ht="14.25" x14ac:dyDescent="0.2">
      <c r="C30" s="22"/>
      <c r="D30" s="20"/>
      <c r="E30" s="20"/>
      <c r="F30" s="20"/>
      <c r="G30" s="21"/>
      <c r="H30" s="22"/>
    </row>
    <row r="31" spans="3:8" ht="15" x14ac:dyDescent="0.2">
      <c r="C31" s="26" t="s">
        <v>195</v>
      </c>
      <c r="D31" s="20"/>
      <c r="E31" s="20"/>
      <c r="F31" s="20"/>
      <c r="G31" s="21"/>
      <c r="H31" s="22"/>
    </row>
    <row r="32" spans="3:8" ht="14.25" x14ac:dyDescent="0.2">
      <c r="C32" s="22"/>
      <c r="D32" s="20"/>
      <c r="E32" s="20"/>
      <c r="F32" s="20"/>
      <c r="G32" s="21"/>
      <c r="H32" s="22"/>
    </row>
    <row r="33" spans="3:8" ht="14.25" x14ac:dyDescent="0.2">
      <c r="C33" s="22"/>
      <c r="D33" s="20"/>
      <c r="E33" s="20"/>
      <c r="F33" s="20"/>
      <c r="G33" s="21"/>
      <c r="H33" s="22"/>
    </row>
    <row r="34" spans="3:8" ht="14.25" x14ac:dyDescent="0.2">
      <c r="C34" s="22"/>
      <c r="D34" s="20"/>
      <c r="E34" s="20"/>
      <c r="F34" s="20"/>
      <c r="G34" s="21"/>
      <c r="H34" s="22"/>
    </row>
    <row r="35" spans="3:8" ht="14.25" x14ac:dyDescent="0.2">
      <c r="C35" s="22"/>
      <c r="D35" s="20"/>
      <c r="E35" s="20"/>
      <c r="F35" s="20"/>
      <c r="G35" s="21"/>
      <c r="H35" s="22"/>
    </row>
    <row r="36" spans="3:8" ht="14.25" x14ac:dyDescent="0.2">
      <c r="C36" s="22"/>
      <c r="D36" s="20"/>
      <c r="E36" s="20"/>
      <c r="F36" s="20"/>
      <c r="G36" s="21"/>
      <c r="H36" s="22"/>
    </row>
    <row r="37" spans="3:8" ht="14.25" x14ac:dyDescent="0.2">
      <c r="C37" s="22"/>
      <c r="D37" s="20"/>
      <c r="E37" s="20"/>
      <c r="F37" s="20"/>
      <c r="G37" s="21"/>
      <c r="H37" s="22"/>
    </row>
    <row r="38" spans="3:8" ht="14.25" x14ac:dyDescent="0.2">
      <c r="C38" s="22"/>
      <c r="D38" s="20"/>
      <c r="E38" s="20"/>
      <c r="F38" s="20"/>
      <c r="G38" s="21"/>
      <c r="H38" s="22"/>
    </row>
    <row r="39" spans="3:8" ht="14.25" x14ac:dyDescent="0.2">
      <c r="C39" s="22"/>
      <c r="D39" s="20"/>
      <c r="E39" s="20"/>
      <c r="F39" s="20"/>
      <c r="G39" s="21"/>
      <c r="H39" s="22"/>
    </row>
    <row r="40" spans="3:8" ht="14.25" x14ac:dyDescent="0.2">
      <c r="C40" s="22"/>
      <c r="D40" s="20"/>
      <c r="E40" s="20"/>
      <c r="F40" s="20"/>
      <c r="G40" s="21"/>
      <c r="H40" s="22"/>
    </row>
    <row r="41" spans="3:8" ht="14.25" x14ac:dyDescent="0.2">
      <c r="C41" s="22"/>
      <c r="D41" s="20"/>
      <c r="E41" s="20"/>
      <c r="F41" s="20"/>
      <c r="G41" s="21"/>
      <c r="H41" s="22"/>
    </row>
    <row r="42" spans="3:8" ht="14.25" x14ac:dyDescent="0.2">
      <c r="C42" s="22"/>
      <c r="D42" s="20"/>
      <c r="E42" s="20"/>
      <c r="F42" s="20"/>
      <c r="G42" s="21"/>
      <c r="H42" s="22"/>
    </row>
    <row r="43" spans="3:8" ht="14.25" x14ac:dyDescent="0.2">
      <c r="C43" s="22"/>
      <c r="D43" s="20"/>
      <c r="E43" s="20"/>
      <c r="F43" s="20"/>
      <c r="G43" s="21"/>
      <c r="H43" s="22"/>
    </row>
    <row r="44" spans="3:8" ht="14.25" x14ac:dyDescent="0.2">
      <c r="C44" s="22"/>
      <c r="D44" s="20"/>
      <c r="E44" s="20"/>
      <c r="F44" s="20"/>
      <c r="G44" s="21"/>
      <c r="H44" s="22"/>
    </row>
    <row r="45" spans="3:8" ht="14.25" x14ac:dyDescent="0.2">
      <c r="C45" s="22"/>
      <c r="D45" s="20"/>
      <c r="E45" s="20"/>
      <c r="F45" s="20"/>
      <c r="G45" s="21"/>
      <c r="H45" s="22"/>
    </row>
    <row r="46" spans="3:8" ht="14.25" x14ac:dyDescent="0.2">
      <c r="C46" s="22"/>
      <c r="D46" s="20"/>
      <c r="E46" s="20"/>
      <c r="F46" s="20"/>
      <c r="G46" s="21"/>
      <c r="H46" s="22"/>
    </row>
    <row r="47" spans="3:8" ht="14.25" x14ac:dyDescent="0.2">
      <c r="C47" s="22"/>
      <c r="D47" s="20"/>
      <c r="E47" s="20"/>
      <c r="F47" s="20"/>
      <c r="G47" s="21"/>
      <c r="H47" s="22"/>
    </row>
    <row r="48" spans="3:8" ht="14.25" x14ac:dyDescent="0.2">
      <c r="C48" s="22"/>
      <c r="D48" s="20"/>
      <c r="E48" s="20"/>
      <c r="F48" s="20"/>
      <c r="G48" s="21"/>
      <c r="H48" s="22"/>
    </row>
    <row r="49" spans="3:8" ht="14.25" x14ac:dyDescent="0.2">
      <c r="C49" s="22"/>
      <c r="D49" s="20"/>
      <c r="E49" s="20"/>
      <c r="F49" s="20"/>
      <c r="G49" s="21"/>
      <c r="H49" s="22"/>
    </row>
    <row r="50" spans="3:8" ht="14.25" x14ac:dyDescent="0.2">
      <c r="C50" s="22"/>
      <c r="D50" s="20"/>
      <c r="E50" s="20"/>
      <c r="F50" s="20"/>
      <c r="G50" s="21"/>
      <c r="H50" s="22"/>
    </row>
    <row r="51" spans="3:8" ht="14.25" x14ac:dyDescent="0.2">
      <c r="C51" s="22"/>
      <c r="D51" s="20"/>
      <c r="E51" s="20"/>
      <c r="F51" s="20"/>
      <c r="G51" s="21"/>
      <c r="H51" s="22"/>
    </row>
    <row r="52" spans="3:8" ht="14.25" x14ac:dyDescent="0.2">
      <c r="C52" s="22"/>
      <c r="D52" s="20"/>
      <c r="E52" s="20"/>
      <c r="F52" s="20"/>
      <c r="G52" s="21"/>
      <c r="H52" s="22"/>
    </row>
    <row r="53" spans="3:8" ht="14.25" x14ac:dyDescent="0.2">
      <c r="C53" s="22"/>
      <c r="D53" s="20"/>
      <c r="E53" s="20"/>
      <c r="F53" s="20"/>
      <c r="G53" s="21"/>
      <c r="H53" s="22"/>
    </row>
    <row r="54" spans="3:8" ht="14.25" x14ac:dyDescent="0.2">
      <c r="C54" s="22"/>
      <c r="D54" s="20"/>
      <c r="E54" s="20"/>
      <c r="F54" s="20"/>
      <c r="G54" s="21"/>
      <c r="H54" s="22"/>
    </row>
    <row r="55" spans="3:8" ht="14.25" x14ac:dyDescent="0.2">
      <c r="C55" s="22"/>
      <c r="D55" s="20"/>
      <c r="E55" s="20"/>
      <c r="F55" s="20"/>
      <c r="G55" s="21"/>
      <c r="H55" s="22"/>
    </row>
    <row r="56" spans="3:8" ht="14.25" x14ac:dyDescent="0.2">
      <c r="C56" s="22"/>
      <c r="D56" s="20"/>
      <c r="E56" s="20"/>
      <c r="F56" s="20"/>
      <c r="G56" s="21"/>
      <c r="H56" s="22"/>
    </row>
    <row r="57" spans="3:8" ht="14.25" x14ac:dyDescent="0.2">
      <c r="C57" s="22"/>
      <c r="D57" s="20"/>
      <c r="E57" s="20"/>
      <c r="F57" s="20"/>
      <c r="G57" s="21"/>
      <c r="H57" s="22"/>
    </row>
    <row r="58" spans="3:8" ht="14.25" x14ac:dyDescent="0.2">
      <c r="C58" s="22"/>
      <c r="D58" s="20"/>
      <c r="E58" s="20"/>
      <c r="F58" s="20"/>
      <c r="G58" s="21"/>
      <c r="H58" s="22"/>
    </row>
    <row r="59" spans="3:8" ht="14.25" x14ac:dyDescent="0.2">
      <c r="C59" s="22"/>
      <c r="D59" s="20"/>
      <c r="E59" s="20"/>
      <c r="F59" s="20"/>
      <c r="G59" s="21"/>
      <c r="H59" s="22"/>
    </row>
    <row r="60" spans="3:8" ht="14.25" x14ac:dyDescent="0.2">
      <c r="C60" s="22"/>
      <c r="D60" s="20"/>
      <c r="E60" s="20"/>
      <c r="F60" s="20"/>
      <c r="G60" s="21"/>
      <c r="H60" s="22"/>
    </row>
    <row r="61" spans="3:8" ht="14.25" x14ac:dyDescent="0.2">
      <c r="C61" s="22"/>
      <c r="D61" s="20"/>
      <c r="E61" s="20"/>
      <c r="F61" s="20"/>
      <c r="G61" s="21"/>
      <c r="H61" s="22"/>
    </row>
    <row r="62" spans="3:8" ht="14.25" x14ac:dyDescent="0.2">
      <c r="C62" s="27" t="s">
        <v>201</v>
      </c>
      <c r="D62" s="20"/>
      <c r="E62" s="20"/>
      <c r="F62" s="20"/>
      <c r="G62" s="21"/>
      <c r="H62" s="22"/>
    </row>
    <row r="63" spans="3:8" ht="14.25" x14ac:dyDescent="0.2">
      <c r="C63" s="22" t="s">
        <v>192</v>
      </c>
      <c r="D63" s="20"/>
      <c r="E63" s="22" t="s">
        <v>193</v>
      </c>
      <c r="F63" s="20"/>
      <c r="G63" s="21"/>
      <c r="H63" s="22"/>
    </row>
    <row r="64" spans="3:8" ht="14.25" x14ac:dyDescent="0.2">
      <c r="C64" s="22" t="s">
        <v>194</v>
      </c>
      <c r="D64" s="20"/>
      <c r="E64" s="22" t="s">
        <v>196</v>
      </c>
      <c r="F64" s="20"/>
      <c r="G64" s="21"/>
      <c r="H64" s="22"/>
    </row>
    <row r="65" spans="2:8" ht="14.25" x14ac:dyDescent="0.2">
      <c r="C65" s="22" t="s">
        <v>197</v>
      </c>
      <c r="D65" s="20"/>
      <c r="E65" s="22" t="s">
        <v>198</v>
      </c>
      <c r="F65" s="20"/>
      <c r="G65" s="21"/>
      <c r="H65" s="22"/>
    </row>
    <row r="66" spans="2:8" ht="18.75" x14ac:dyDescent="0.2">
      <c r="C66" s="22" t="s">
        <v>207</v>
      </c>
      <c r="D66" s="20"/>
      <c r="E66" s="22" t="s">
        <v>199</v>
      </c>
      <c r="F66" s="20"/>
      <c r="G66" s="21"/>
      <c r="H66" s="22"/>
    </row>
    <row r="67" spans="2:8" ht="14.25" x14ac:dyDescent="0.2">
      <c r="C67" s="22" t="s">
        <v>200</v>
      </c>
      <c r="D67" s="20"/>
      <c r="E67" s="20"/>
      <c r="F67" s="20"/>
      <c r="G67" s="21"/>
      <c r="H67" s="22"/>
    </row>
    <row r="68" spans="2:8" ht="14.25" x14ac:dyDescent="0.2">
      <c r="C68" s="22"/>
      <c r="D68" s="20"/>
      <c r="E68" s="20"/>
      <c r="F68" s="20"/>
      <c r="G68" s="21"/>
      <c r="H68" s="22"/>
    </row>
    <row r="69" spans="2:8" ht="15" x14ac:dyDescent="0.2">
      <c r="B69" s="28"/>
      <c r="C69" s="29" t="s">
        <v>202</v>
      </c>
      <c r="D69" s="30"/>
      <c r="E69" s="30"/>
      <c r="F69" s="30"/>
      <c r="G69" s="31"/>
      <c r="H69" s="32"/>
    </row>
    <row r="70" spans="2:8" ht="7.15" customHeight="1" x14ac:dyDescent="0.2">
      <c r="C70" s="22"/>
      <c r="D70" s="20"/>
      <c r="E70" s="20"/>
      <c r="F70" s="20"/>
      <c r="G70" s="21"/>
      <c r="H70" s="22"/>
    </row>
    <row r="71" spans="2:8" ht="14.25" x14ac:dyDescent="0.2">
      <c r="B71" s="33" t="s">
        <v>72</v>
      </c>
      <c r="C71" s="27" t="s">
        <v>2</v>
      </c>
      <c r="D71" s="20"/>
      <c r="E71" s="20" t="s">
        <v>27</v>
      </c>
      <c r="F71" s="20"/>
      <c r="G71" s="21" t="s">
        <v>183</v>
      </c>
      <c r="H71" s="22"/>
    </row>
    <row r="72" spans="2:8" ht="14.25" x14ac:dyDescent="0.2">
      <c r="B72" s="16">
        <v>1</v>
      </c>
      <c r="C72" s="22" t="s">
        <v>31</v>
      </c>
      <c r="D72" s="49"/>
      <c r="E72" s="20" t="s">
        <v>28</v>
      </c>
      <c r="F72" s="20"/>
      <c r="G72" s="50"/>
      <c r="H72" s="22"/>
    </row>
    <row r="73" spans="2:8" ht="14.25" x14ac:dyDescent="0.2">
      <c r="B73" s="16">
        <v>2</v>
      </c>
      <c r="C73" s="22" t="s">
        <v>32</v>
      </c>
      <c r="D73" s="49"/>
      <c r="E73" s="20" t="s">
        <v>28</v>
      </c>
      <c r="F73" s="20"/>
      <c r="G73" s="50"/>
      <c r="H73" s="22"/>
    </row>
    <row r="74" spans="2:8" ht="27.6" customHeight="1" x14ac:dyDescent="0.2">
      <c r="B74" s="16">
        <v>3</v>
      </c>
      <c r="C74" s="22" t="s">
        <v>33</v>
      </c>
      <c r="D74" s="49"/>
      <c r="E74" s="20" t="s">
        <v>28</v>
      </c>
      <c r="F74" s="20"/>
      <c r="G74" s="50"/>
      <c r="H74" s="21" t="s">
        <v>82</v>
      </c>
    </row>
    <row r="75" spans="2:8" ht="14.25" x14ac:dyDescent="0.2">
      <c r="B75" s="16">
        <v>4</v>
      </c>
      <c r="C75" s="22" t="s">
        <v>34</v>
      </c>
      <c r="D75" s="49"/>
      <c r="E75" s="20" t="s">
        <v>28</v>
      </c>
      <c r="F75" s="20"/>
      <c r="G75" s="50"/>
      <c r="H75" s="22"/>
    </row>
    <row r="76" spans="2:8" ht="18.75" x14ac:dyDescent="0.2">
      <c r="B76" s="16">
        <v>5</v>
      </c>
      <c r="C76" s="22" t="s">
        <v>208</v>
      </c>
      <c r="D76" s="49"/>
      <c r="E76" s="20" t="s">
        <v>28</v>
      </c>
      <c r="F76" s="20"/>
      <c r="G76" s="50"/>
      <c r="H76" s="22"/>
    </row>
    <row r="77" spans="2:8" ht="14.25" x14ac:dyDescent="0.2">
      <c r="B77" s="16">
        <v>6</v>
      </c>
      <c r="C77" s="22" t="s">
        <v>35</v>
      </c>
      <c r="D77" s="49"/>
      <c r="E77" s="20" t="s">
        <v>29</v>
      </c>
      <c r="F77" s="20"/>
      <c r="G77" s="50"/>
      <c r="H77" s="22"/>
    </row>
    <row r="78" spans="2:8" ht="14.25" x14ac:dyDescent="0.2">
      <c r="B78" s="16">
        <v>7</v>
      </c>
      <c r="C78" s="22" t="s">
        <v>36</v>
      </c>
      <c r="D78" s="49"/>
      <c r="E78" s="20" t="s">
        <v>30</v>
      </c>
      <c r="F78" s="20"/>
      <c r="G78" s="50"/>
      <c r="H78" s="22"/>
    </row>
    <row r="79" spans="2:8" ht="14.25" x14ac:dyDescent="0.2">
      <c r="C79" s="22"/>
      <c r="D79" s="20"/>
      <c r="E79" s="20"/>
      <c r="F79" s="20"/>
      <c r="G79" s="21"/>
      <c r="H79" s="22"/>
    </row>
    <row r="80" spans="2:8" ht="14.25" x14ac:dyDescent="0.2">
      <c r="B80" s="33" t="s">
        <v>72</v>
      </c>
      <c r="C80" s="27" t="s">
        <v>1</v>
      </c>
      <c r="D80" s="20"/>
      <c r="E80" s="20"/>
      <c r="F80" s="20"/>
      <c r="G80" s="21"/>
      <c r="H80" s="22"/>
    </row>
    <row r="81" spans="2:8" ht="14.25" x14ac:dyDescent="0.2">
      <c r="B81" s="16">
        <v>8</v>
      </c>
      <c r="C81" s="22" t="s">
        <v>0</v>
      </c>
      <c r="D81" s="49"/>
      <c r="E81" s="20"/>
      <c r="F81" s="20"/>
      <c r="G81" s="50"/>
      <c r="H81" s="22"/>
    </row>
    <row r="82" spans="2:8" ht="28.5" x14ac:dyDescent="0.2">
      <c r="B82" s="16">
        <v>9</v>
      </c>
      <c r="C82" s="22" t="s">
        <v>37</v>
      </c>
      <c r="D82" s="34">
        <f>IF(D81="",0,LOOKUP(D81,'Supporting Data'!D7:D10,'Supporting Data'!E7:E10))</f>
        <v>0</v>
      </c>
      <c r="E82" s="20" t="s">
        <v>28</v>
      </c>
      <c r="F82" s="20"/>
      <c r="G82" s="35" t="s">
        <v>83</v>
      </c>
      <c r="H82" s="22"/>
    </row>
    <row r="83" spans="2:8" ht="14.25" x14ac:dyDescent="0.2">
      <c r="B83" s="16" t="s">
        <v>8</v>
      </c>
      <c r="C83" s="22" t="s">
        <v>38</v>
      </c>
      <c r="D83" s="49"/>
      <c r="E83" s="20" t="s">
        <v>28</v>
      </c>
      <c r="F83" s="20"/>
      <c r="G83" s="50"/>
      <c r="H83" s="22"/>
    </row>
    <row r="84" spans="2:8" ht="14.25" x14ac:dyDescent="0.2">
      <c r="B84" s="16">
        <v>10</v>
      </c>
      <c r="C84" s="22" t="s">
        <v>39</v>
      </c>
      <c r="D84" s="34">
        <f>D82+D83</f>
        <v>0</v>
      </c>
      <c r="E84" s="20" t="s">
        <v>28</v>
      </c>
      <c r="F84" s="20"/>
      <c r="G84" s="35" t="s">
        <v>46</v>
      </c>
      <c r="H84" s="22"/>
    </row>
    <row r="85" spans="2:8" ht="14.25" x14ac:dyDescent="0.2">
      <c r="B85" s="16">
        <v>11</v>
      </c>
      <c r="C85" s="22" t="s">
        <v>41</v>
      </c>
      <c r="D85" s="34">
        <f>IF(D81="",0,LOOKUP(D81,'Supporting Data'!D7:D10,'Supporting Data'!F7:F10))</f>
        <v>0</v>
      </c>
      <c r="E85" s="20" t="s">
        <v>28</v>
      </c>
      <c r="F85" s="20"/>
      <c r="G85" s="35" t="s">
        <v>45</v>
      </c>
      <c r="H85" s="22"/>
    </row>
    <row r="86" spans="2:8" ht="14.25" x14ac:dyDescent="0.2">
      <c r="B86" s="16">
        <v>12</v>
      </c>
      <c r="C86" s="22" t="s">
        <v>40</v>
      </c>
      <c r="D86" s="34">
        <v>19</v>
      </c>
      <c r="E86" s="20" t="s">
        <v>28</v>
      </c>
      <c r="F86" s="20"/>
      <c r="G86" s="35" t="s">
        <v>48</v>
      </c>
      <c r="H86" s="22"/>
    </row>
    <row r="87" spans="2:8" ht="14.25" x14ac:dyDescent="0.2">
      <c r="C87" s="22"/>
      <c r="D87" s="20"/>
      <c r="E87" s="20"/>
      <c r="F87" s="20"/>
      <c r="G87" s="21"/>
      <c r="H87" s="22"/>
    </row>
    <row r="88" spans="2:8" ht="15" x14ac:dyDescent="0.2">
      <c r="B88" s="28"/>
      <c r="C88" s="29" t="s">
        <v>3</v>
      </c>
      <c r="D88" s="30"/>
      <c r="E88" s="30"/>
      <c r="F88" s="30"/>
      <c r="G88" s="31"/>
      <c r="H88" s="32"/>
    </row>
    <row r="89" spans="2:8" ht="7.15" customHeight="1" x14ac:dyDescent="0.2">
      <c r="C89" s="26"/>
      <c r="D89" s="20"/>
      <c r="E89" s="20"/>
      <c r="F89" s="20"/>
      <c r="G89" s="21"/>
      <c r="H89" s="22"/>
    </row>
    <row r="90" spans="2:8" ht="14.25" x14ac:dyDescent="0.2">
      <c r="B90" s="33" t="s">
        <v>72</v>
      </c>
      <c r="C90" s="27" t="s">
        <v>6</v>
      </c>
      <c r="D90" s="20"/>
      <c r="E90" s="20"/>
      <c r="F90" s="20"/>
      <c r="G90" s="21"/>
      <c r="H90" s="22"/>
    </row>
    <row r="91" spans="2:8" ht="14.25" x14ac:dyDescent="0.2">
      <c r="C91" s="22" t="s">
        <v>4</v>
      </c>
      <c r="D91" s="49"/>
      <c r="E91" s="20"/>
      <c r="F91" s="20"/>
      <c r="G91" s="50"/>
      <c r="H91" s="22"/>
    </row>
    <row r="92" spans="2:8" ht="14.25" x14ac:dyDescent="0.2">
      <c r="C92" s="22" t="s">
        <v>5</v>
      </c>
      <c r="D92" s="49"/>
      <c r="E92" s="20"/>
      <c r="F92" s="20"/>
      <c r="G92" s="50"/>
      <c r="H92" s="22"/>
    </row>
    <row r="93" spans="2:8" ht="14.25" x14ac:dyDescent="0.2">
      <c r="B93" s="16">
        <v>13</v>
      </c>
      <c r="C93" s="22" t="s">
        <v>50</v>
      </c>
      <c r="D93" s="49"/>
      <c r="E93" s="20" t="s">
        <v>49</v>
      </c>
      <c r="F93" s="20"/>
      <c r="G93" s="50"/>
      <c r="H93" s="22"/>
    </row>
    <row r="94" spans="2:8" ht="15" thickBot="1" x14ac:dyDescent="0.25">
      <c r="B94" s="16">
        <v>14</v>
      </c>
      <c r="C94" s="22" t="s">
        <v>51</v>
      </c>
      <c r="D94" s="51"/>
      <c r="E94" s="20" t="s">
        <v>49</v>
      </c>
      <c r="F94" s="20"/>
      <c r="G94" s="50"/>
      <c r="H94" s="22"/>
    </row>
    <row r="95" spans="2:8" ht="15" thickBot="1" x14ac:dyDescent="0.25">
      <c r="B95" s="16">
        <v>15</v>
      </c>
      <c r="C95" s="22" t="s">
        <v>6</v>
      </c>
      <c r="D95" s="36">
        <f>D93+D94</f>
        <v>0</v>
      </c>
      <c r="E95" s="20" t="s">
        <v>49</v>
      </c>
      <c r="F95" s="20"/>
      <c r="G95" s="35" t="s">
        <v>52</v>
      </c>
      <c r="H95" s="22"/>
    </row>
    <row r="96" spans="2:8" ht="9" customHeight="1" x14ac:dyDescent="0.2">
      <c r="C96" s="22"/>
      <c r="D96" s="20"/>
      <c r="E96" s="20"/>
      <c r="F96" s="20"/>
      <c r="G96" s="21"/>
      <c r="H96" s="22"/>
    </row>
    <row r="97" spans="2:8" ht="14.25" x14ac:dyDescent="0.2">
      <c r="B97" s="33" t="s">
        <v>72</v>
      </c>
      <c r="C97" s="27" t="s">
        <v>7</v>
      </c>
      <c r="D97" s="20"/>
      <c r="E97" s="20"/>
      <c r="F97" s="20"/>
      <c r="G97" s="21"/>
      <c r="H97" s="22"/>
    </row>
    <row r="98" spans="2:8" ht="14.25" x14ac:dyDescent="0.2">
      <c r="B98" s="33"/>
      <c r="C98" s="22" t="s">
        <v>220</v>
      </c>
      <c r="D98" s="49"/>
      <c r="E98" s="20"/>
      <c r="F98" s="20"/>
      <c r="G98" s="50"/>
      <c r="H98" s="22"/>
    </row>
    <row r="99" spans="2:8" ht="14.25" x14ac:dyDescent="0.2">
      <c r="B99" s="16">
        <v>16</v>
      </c>
      <c r="C99" s="22" t="s">
        <v>53</v>
      </c>
      <c r="D99" s="49"/>
      <c r="E99" s="20" t="s">
        <v>49</v>
      </c>
      <c r="F99" s="20"/>
      <c r="G99" s="50"/>
      <c r="H99" s="22"/>
    </row>
    <row r="100" spans="2:8" ht="14.25" x14ac:dyDescent="0.2">
      <c r="B100" s="16">
        <v>17</v>
      </c>
      <c r="C100" s="22" t="s">
        <v>54</v>
      </c>
      <c r="D100" s="49"/>
      <c r="E100" s="20" t="s">
        <v>49</v>
      </c>
      <c r="F100" s="20"/>
      <c r="G100" s="50"/>
      <c r="H100" s="22"/>
    </row>
    <row r="101" spans="2:8" ht="14.25" x14ac:dyDescent="0.2">
      <c r="B101" s="16">
        <v>18</v>
      </c>
      <c r="C101" s="22" t="s">
        <v>55</v>
      </c>
      <c r="D101" s="49"/>
      <c r="E101" s="20" t="s">
        <v>49</v>
      </c>
      <c r="F101" s="20"/>
      <c r="G101" s="50"/>
      <c r="H101" s="22"/>
    </row>
    <row r="102" spans="2:8" ht="15" thickBot="1" x14ac:dyDescent="0.25">
      <c r="B102" s="16">
        <v>19</v>
      </c>
      <c r="C102" s="22" t="s">
        <v>56</v>
      </c>
      <c r="D102" s="51"/>
      <c r="E102" s="20" t="s">
        <v>49</v>
      </c>
      <c r="F102" s="20"/>
      <c r="G102" s="50"/>
      <c r="H102" s="22"/>
    </row>
    <row r="103" spans="2:8" ht="15" thickBot="1" x14ac:dyDescent="0.25">
      <c r="B103" s="16">
        <v>20</v>
      </c>
      <c r="C103" s="22" t="s">
        <v>7</v>
      </c>
      <c r="D103" s="36">
        <f>SUM(D99:D102)</f>
        <v>0</v>
      </c>
      <c r="E103" s="20" t="s">
        <v>49</v>
      </c>
      <c r="F103" s="20"/>
      <c r="G103" s="35" t="s">
        <v>57</v>
      </c>
      <c r="H103" s="22"/>
    </row>
    <row r="104" spans="2:8" ht="9" customHeight="1" x14ac:dyDescent="0.2">
      <c r="C104" s="22"/>
      <c r="D104" s="20"/>
      <c r="E104" s="20"/>
      <c r="F104" s="20"/>
      <c r="G104" s="21"/>
      <c r="H104" s="22"/>
    </row>
    <row r="105" spans="2:8" ht="14.25" x14ac:dyDescent="0.2">
      <c r="B105" s="33" t="s">
        <v>72</v>
      </c>
      <c r="C105" s="27" t="s">
        <v>9</v>
      </c>
      <c r="D105" s="20"/>
      <c r="E105" s="20"/>
      <c r="F105" s="20"/>
      <c r="G105" s="21"/>
      <c r="H105" s="22"/>
    </row>
    <row r="106" spans="2:8" ht="14.25" x14ac:dyDescent="0.2">
      <c r="B106" s="33"/>
      <c r="C106" s="22" t="s">
        <v>221</v>
      </c>
      <c r="D106" s="49"/>
      <c r="E106" s="20"/>
      <c r="F106" s="20"/>
      <c r="G106" s="50"/>
      <c r="H106" s="22"/>
    </row>
    <row r="107" spans="2:8" ht="14.25" x14ac:dyDescent="0.2">
      <c r="B107" s="16">
        <v>21</v>
      </c>
      <c r="C107" s="22" t="s">
        <v>59</v>
      </c>
      <c r="D107" s="49"/>
      <c r="E107" s="20" t="s">
        <v>49</v>
      </c>
      <c r="F107" s="20"/>
      <c r="G107" s="50"/>
      <c r="H107" s="22"/>
    </row>
    <row r="108" spans="2:8" ht="14.25" x14ac:dyDescent="0.2">
      <c r="B108" s="16">
        <v>22</v>
      </c>
      <c r="C108" s="22" t="s">
        <v>60</v>
      </c>
      <c r="D108" s="49"/>
      <c r="E108" s="20" t="s">
        <v>49</v>
      </c>
      <c r="F108" s="20"/>
      <c r="G108" s="50"/>
      <c r="H108" s="22"/>
    </row>
    <row r="109" spans="2:8" ht="14.25" x14ac:dyDescent="0.2">
      <c r="B109" s="16">
        <v>23</v>
      </c>
      <c r="C109" s="22" t="s">
        <v>61</v>
      </c>
      <c r="D109" s="49"/>
      <c r="E109" s="20" t="s">
        <v>49</v>
      </c>
      <c r="F109" s="20"/>
      <c r="G109" s="50"/>
      <c r="H109" s="22"/>
    </row>
    <row r="110" spans="2:8" ht="15" thickBot="1" x14ac:dyDescent="0.25">
      <c r="B110" s="16">
        <v>24</v>
      </c>
      <c r="C110" s="22" t="s">
        <v>209</v>
      </c>
      <c r="D110" s="51"/>
      <c r="E110" s="20" t="s">
        <v>49</v>
      </c>
      <c r="F110" s="20"/>
      <c r="G110" s="50"/>
      <c r="H110" s="22"/>
    </row>
    <row r="111" spans="2:8" ht="15" thickBot="1" x14ac:dyDescent="0.25">
      <c r="B111" s="16">
        <v>25</v>
      </c>
      <c r="C111" s="22" t="s">
        <v>9</v>
      </c>
      <c r="D111" s="36">
        <f>SUM(D107:D110)</f>
        <v>0</v>
      </c>
      <c r="E111" s="20" t="s">
        <v>49</v>
      </c>
      <c r="F111" s="20"/>
      <c r="G111" s="35" t="s">
        <v>58</v>
      </c>
      <c r="H111" s="22"/>
    </row>
    <row r="112" spans="2:8" ht="9" customHeight="1" x14ac:dyDescent="0.2">
      <c r="C112" s="22"/>
      <c r="D112" s="20"/>
      <c r="E112" s="20"/>
      <c r="F112" s="20"/>
      <c r="G112" s="21"/>
      <c r="H112" s="22"/>
    </row>
    <row r="113" spans="2:8" ht="15" thickBot="1" x14ac:dyDescent="0.25">
      <c r="B113" s="33" t="s">
        <v>72</v>
      </c>
      <c r="C113" s="27" t="s">
        <v>157</v>
      </c>
      <c r="D113" s="20"/>
      <c r="E113" s="20"/>
      <c r="F113" s="20"/>
      <c r="G113" s="21"/>
      <c r="H113" s="22"/>
    </row>
    <row r="114" spans="2:8" ht="15" thickBot="1" x14ac:dyDescent="0.25">
      <c r="B114" s="37">
        <v>26</v>
      </c>
      <c r="C114" s="22" t="s">
        <v>158</v>
      </c>
      <c r="D114" s="36">
        <f>D95+D103</f>
        <v>0</v>
      </c>
      <c r="E114" s="20" t="s">
        <v>49</v>
      </c>
      <c r="F114" s="20"/>
      <c r="G114" s="35" t="s">
        <v>160</v>
      </c>
      <c r="H114" s="22"/>
    </row>
    <row r="115" spans="2:8" ht="15" thickBot="1" x14ac:dyDescent="0.25">
      <c r="B115" s="37">
        <v>27</v>
      </c>
      <c r="C115" s="22" t="s">
        <v>159</v>
      </c>
      <c r="D115" s="36">
        <f>D95+D111</f>
        <v>0</v>
      </c>
      <c r="E115" s="20" t="s">
        <v>49</v>
      </c>
      <c r="F115" s="20"/>
      <c r="G115" s="35" t="s">
        <v>161</v>
      </c>
      <c r="H115" s="22"/>
    </row>
    <row r="116" spans="2:8" ht="14.25" x14ac:dyDescent="0.2">
      <c r="C116" s="22"/>
      <c r="D116" s="20"/>
      <c r="E116" s="20"/>
      <c r="F116" s="20"/>
      <c r="G116" s="21"/>
      <c r="H116" s="22"/>
    </row>
    <row r="117" spans="2:8" ht="15" x14ac:dyDescent="0.2">
      <c r="B117" s="28"/>
      <c r="C117" s="29" t="s">
        <v>10</v>
      </c>
      <c r="D117" s="30"/>
      <c r="E117" s="30"/>
      <c r="F117" s="30"/>
      <c r="G117" s="31"/>
      <c r="H117" s="32"/>
    </row>
    <row r="118" spans="2:8" ht="14.25" x14ac:dyDescent="0.2">
      <c r="B118" s="33" t="s">
        <v>72</v>
      </c>
      <c r="C118" s="22"/>
      <c r="D118" s="20"/>
      <c r="E118" s="20"/>
      <c r="F118" s="20"/>
      <c r="G118" s="21"/>
      <c r="H118" s="22"/>
    </row>
    <row r="119" spans="2:8" ht="14.25" x14ac:dyDescent="0.2">
      <c r="B119" s="16">
        <v>28</v>
      </c>
      <c r="C119" s="22" t="s">
        <v>11</v>
      </c>
      <c r="D119" s="49"/>
      <c r="E119" s="20"/>
      <c r="F119" s="20"/>
      <c r="G119" s="50"/>
      <c r="H119" s="22"/>
    </row>
    <row r="120" spans="2:8" ht="14.25" x14ac:dyDescent="0.2">
      <c r="B120" s="37" t="s">
        <v>264</v>
      </c>
      <c r="C120" s="22" t="s">
        <v>266</v>
      </c>
      <c r="D120" s="49"/>
      <c r="E120" s="20"/>
      <c r="F120" s="20"/>
      <c r="G120" s="50"/>
      <c r="H120" s="22"/>
    </row>
    <row r="121" spans="2:8" ht="28.5" x14ac:dyDescent="0.2">
      <c r="B121" s="37" t="s">
        <v>265</v>
      </c>
      <c r="C121" s="22" t="s">
        <v>267</v>
      </c>
      <c r="D121" s="34">
        <f>IF(D120="",0,LOOKUP(D120,'Supporting Data'!L14:L17,'Supporting Data'!M14:M17))</f>
        <v>0</v>
      </c>
      <c r="E121" s="20" t="s">
        <v>28</v>
      </c>
      <c r="F121" s="20"/>
      <c r="G121" s="35" t="s">
        <v>83</v>
      </c>
      <c r="H121" s="22"/>
    </row>
    <row r="122" spans="2:8" ht="14.25" x14ac:dyDescent="0.2">
      <c r="B122" s="37" t="s">
        <v>268</v>
      </c>
      <c r="C122" s="22" t="s">
        <v>272</v>
      </c>
      <c r="D122" s="49"/>
      <c r="E122" s="20" t="s">
        <v>28</v>
      </c>
      <c r="F122" s="20"/>
      <c r="G122" s="50"/>
      <c r="H122" s="22"/>
    </row>
    <row r="123" spans="2:8" ht="14.25" x14ac:dyDescent="0.2">
      <c r="B123" s="37" t="s">
        <v>269</v>
      </c>
      <c r="C123" s="22" t="s">
        <v>270</v>
      </c>
      <c r="D123" s="34">
        <f>D121+D122</f>
        <v>0</v>
      </c>
      <c r="E123" s="20" t="s">
        <v>28</v>
      </c>
      <c r="F123" s="20"/>
      <c r="G123" s="35" t="s">
        <v>271</v>
      </c>
      <c r="H123" s="22"/>
    </row>
    <row r="124" spans="2:8" ht="14.25" x14ac:dyDescent="0.2">
      <c r="B124" s="16">
        <v>29</v>
      </c>
      <c r="C124" s="22" t="s">
        <v>273</v>
      </c>
      <c r="D124" s="34" t="str">
        <f>IF(D119="","",LOOKUP(D119,'Supporting Data'!D14:D15,'Supporting Data'!E14:E15))</f>
        <v/>
      </c>
      <c r="E124" s="20" t="s">
        <v>28</v>
      </c>
      <c r="F124" s="20"/>
      <c r="G124" s="35"/>
      <c r="H124" s="22"/>
    </row>
    <row r="125" spans="2:8" ht="14.25" x14ac:dyDescent="0.2">
      <c r="B125" s="16">
        <v>30</v>
      </c>
      <c r="C125" s="22" t="s">
        <v>274</v>
      </c>
      <c r="D125" s="34">
        <v>10</v>
      </c>
      <c r="E125" s="20" t="s">
        <v>62</v>
      </c>
      <c r="F125" s="20"/>
      <c r="G125" s="35" t="s">
        <v>76</v>
      </c>
      <c r="H125" s="22"/>
    </row>
    <row r="126" spans="2:8" ht="27" customHeight="1" x14ac:dyDescent="0.2">
      <c r="B126" s="16">
        <v>31</v>
      </c>
      <c r="C126" s="21" t="s">
        <v>275</v>
      </c>
      <c r="D126" s="34" t="str">
        <f>IF(D119="","",LOOKUP(D119,'Supporting Data'!D14:D15,'Supporting Data'!G14:G15))</f>
        <v/>
      </c>
      <c r="E126" s="20" t="s">
        <v>28</v>
      </c>
      <c r="F126" s="20"/>
      <c r="G126" s="35"/>
      <c r="H126" s="22"/>
    </row>
    <row r="127" spans="2:8" ht="27" customHeight="1" x14ac:dyDescent="0.2">
      <c r="B127" s="16">
        <v>32</v>
      </c>
      <c r="C127" s="21" t="s">
        <v>276</v>
      </c>
      <c r="D127" s="34" t="str">
        <f>IF(D119="","",LOOKUP(D119,'Supporting Data'!D14:D15,'Supporting Data'!H14:H15))</f>
        <v/>
      </c>
      <c r="E127" s="20" t="s">
        <v>49</v>
      </c>
      <c r="F127" s="20"/>
      <c r="G127" s="35"/>
      <c r="H127" s="22"/>
    </row>
    <row r="128" spans="2:8" ht="14.25" x14ac:dyDescent="0.2">
      <c r="B128" s="16">
        <v>33</v>
      </c>
      <c r="C128" s="22" t="s">
        <v>281</v>
      </c>
      <c r="D128" s="34" t="str">
        <f>IF(D119="","",LOOKUP(D119,'Supporting Data'!D14:D15,'Supporting Data'!I14:I15))</f>
        <v/>
      </c>
      <c r="E128" s="20" t="s">
        <v>49</v>
      </c>
      <c r="F128" s="20"/>
      <c r="G128" s="35"/>
      <c r="H128" s="22"/>
    </row>
    <row r="129" spans="2:8" ht="14.25" x14ac:dyDescent="0.2">
      <c r="B129" s="16">
        <v>34</v>
      </c>
      <c r="C129" s="22" t="s">
        <v>63</v>
      </c>
      <c r="D129" s="34">
        <f>D72+D73+D74</f>
        <v>0</v>
      </c>
      <c r="E129" s="20" t="s">
        <v>28</v>
      </c>
      <c r="F129" s="20"/>
      <c r="G129" s="35" t="s">
        <v>81</v>
      </c>
      <c r="H129" s="22"/>
    </row>
    <row r="130" spans="2:8" ht="14.25" x14ac:dyDescent="0.2">
      <c r="B130" s="16">
        <v>35</v>
      </c>
      <c r="C130" s="22" t="s">
        <v>64</v>
      </c>
      <c r="D130" s="34">
        <f>2+(D129/20)</f>
        <v>2</v>
      </c>
      <c r="E130" s="20" t="s">
        <v>49</v>
      </c>
      <c r="F130" s="20"/>
      <c r="G130" s="35" t="s">
        <v>182</v>
      </c>
      <c r="H130" s="22"/>
    </row>
    <row r="131" spans="2:8" ht="14.25" x14ac:dyDescent="0.2">
      <c r="B131" s="16">
        <v>36</v>
      </c>
      <c r="C131" s="22" t="s">
        <v>65</v>
      </c>
      <c r="D131" s="34">
        <f>D73+D74+D84</f>
        <v>0</v>
      </c>
      <c r="E131" s="20" t="s">
        <v>28</v>
      </c>
      <c r="F131" s="20"/>
      <c r="G131" s="35" t="s">
        <v>181</v>
      </c>
      <c r="H131" s="22"/>
    </row>
    <row r="132" spans="2:8" ht="28.5" x14ac:dyDescent="0.2">
      <c r="B132" s="16">
        <v>37</v>
      </c>
      <c r="C132" s="21" t="s">
        <v>66</v>
      </c>
      <c r="D132" s="34">
        <f>'Supporting Data'!E25</f>
        <v>0</v>
      </c>
      <c r="E132" s="20" t="s">
        <v>49</v>
      </c>
      <c r="F132" s="20"/>
      <c r="G132" s="35" t="s">
        <v>45</v>
      </c>
      <c r="H132" s="22"/>
    </row>
    <row r="133" spans="2:8" ht="14.25" x14ac:dyDescent="0.2">
      <c r="B133" s="16">
        <v>38</v>
      </c>
      <c r="C133" s="22" t="s">
        <v>12</v>
      </c>
      <c r="D133" s="34" t="str">
        <f>'Supporting Data'!E37</f>
        <v>N/A</v>
      </c>
      <c r="E133" s="20"/>
      <c r="F133" s="20"/>
      <c r="G133" s="35" t="s">
        <v>214</v>
      </c>
      <c r="H133" s="22"/>
    </row>
    <row r="134" spans="2:8" ht="27.6" customHeight="1" thickBot="1" x14ac:dyDescent="0.25">
      <c r="B134" s="16">
        <v>39</v>
      </c>
      <c r="C134" s="21" t="s">
        <v>67</v>
      </c>
      <c r="D134" s="38" t="str">
        <f>IF(D133="N/A","N/A",D132*D133)</f>
        <v>N/A</v>
      </c>
      <c r="E134" s="20" t="s">
        <v>49</v>
      </c>
      <c r="F134" s="20"/>
      <c r="G134" s="35" t="s">
        <v>85</v>
      </c>
      <c r="H134" s="22"/>
    </row>
    <row r="135" spans="2:8" ht="15" thickBot="1" x14ac:dyDescent="0.25">
      <c r="B135" s="16">
        <v>40</v>
      </c>
      <c r="C135" s="22" t="s">
        <v>68</v>
      </c>
      <c r="D135" s="39" t="str">
        <f>IF(D134="N/A","N/A",D128+D130+D134)</f>
        <v>N/A</v>
      </c>
      <c r="E135" s="20" t="s">
        <v>49</v>
      </c>
      <c r="F135" s="20"/>
      <c r="G135" s="35" t="s">
        <v>86</v>
      </c>
      <c r="H135" s="22"/>
    </row>
    <row r="136" spans="2:8" ht="14.25" x14ac:dyDescent="0.2">
      <c r="C136" s="22"/>
      <c r="D136" s="20"/>
      <c r="E136" s="20"/>
      <c r="F136" s="20"/>
      <c r="G136" s="21"/>
      <c r="H136" s="22"/>
    </row>
    <row r="137" spans="2:8" ht="15" x14ac:dyDescent="0.2">
      <c r="B137" s="28"/>
      <c r="C137" s="29" t="s">
        <v>205</v>
      </c>
      <c r="D137" s="30"/>
      <c r="E137" s="30"/>
      <c r="F137" s="30"/>
      <c r="G137" s="31"/>
      <c r="H137" s="32"/>
    </row>
    <row r="138" spans="2:8" ht="7.15" customHeight="1" x14ac:dyDescent="0.2">
      <c r="C138" s="22"/>
      <c r="D138" s="20"/>
      <c r="E138" s="20"/>
      <c r="F138" s="20"/>
      <c r="G138" s="21"/>
      <c r="H138" s="22"/>
    </row>
    <row r="139" spans="2:8" ht="14.25" x14ac:dyDescent="0.2">
      <c r="B139" s="33" t="s">
        <v>72</v>
      </c>
      <c r="C139" s="27" t="s">
        <v>155</v>
      </c>
      <c r="D139" s="20"/>
      <c r="E139" s="20"/>
      <c r="F139" s="20"/>
      <c r="G139" s="21"/>
      <c r="H139" s="22"/>
    </row>
    <row r="140" spans="2:8" ht="14.25" x14ac:dyDescent="0.2">
      <c r="B140" s="16">
        <v>41</v>
      </c>
      <c r="C140" s="22" t="s">
        <v>158</v>
      </c>
      <c r="D140" s="34">
        <f>D114</f>
        <v>0</v>
      </c>
      <c r="E140" s="20" t="s">
        <v>49</v>
      </c>
      <c r="F140" s="20"/>
      <c r="G140" s="35" t="s">
        <v>162</v>
      </c>
      <c r="H140" s="22"/>
    </row>
    <row r="141" spans="2:8" ht="14.25" x14ac:dyDescent="0.2">
      <c r="B141" s="16">
        <v>42</v>
      </c>
      <c r="C141" s="22" t="s">
        <v>68</v>
      </c>
      <c r="D141" s="40" t="str">
        <f>D135</f>
        <v>N/A</v>
      </c>
      <c r="E141" s="20" t="s">
        <v>49</v>
      </c>
      <c r="F141" s="20"/>
      <c r="G141" s="35" t="s">
        <v>89</v>
      </c>
      <c r="H141" s="22"/>
    </row>
    <row r="142" spans="2:8" ht="15" thickBot="1" x14ac:dyDescent="0.25">
      <c r="B142" s="16">
        <v>43</v>
      </c>
      <c r="C142" s="22" t="s">
        <v>87</v>
      </c>
      <c r="D142" s="51">
        <v>4</v>
      </c>
      <c r="E142" s="20" t="s">
        <v>49</v>
      </c>
      <c r="F142" s="20"/>
      <c r="G142" s="50"/>
      <c r="H142" s="22" t="s">
        <v>90</v>
      </c>
    </row>
    <row r="143" spans="2:8" ht="15" thickBot="1" x14ac:dyDescent="0.25">
      <c r="B143" s="16">
        <v>44</v>
      </c>
      <c r="C143" s="22" t="s">
        <v>210</v>
      </c>
      <c r="D143" s="39">
        <f>SUM(D140:D142)</f>
        <v>4</v>
      </c>
      <c r="E143" s="20" t="s">
        <v>49</v>
      </c>
      <c r="F143" s="20"/>
      <c r="G143" s="35" t="s">
        <v>91</v>
      </c>
      <c r="H143" s="22"/>
    </row>
    <row r="144" spans="2:8" ht="9" customHeight="1" x14ac:dyDescent="0.2">
      <c r="C144" s="22"/>
      <c r="D144" s="41"/>
      <c r="E144" s="20"/>
      <c r="F144" s="20"/>
      <c r="G144" s="21"/>
      <c r="H144" s="22"/>
    </row>
    <row r="145" spans="2:9" ht="14.25" x14ac:dyDescent="0.2">
      <c r="B145" s="33" t="s">
        <v>72</v>
      </c>
      <c r="C145" s="27" t="s">
        <v>156</v>
      </c>
      <c r="D145" s="20"/>
      <c r="E145" s="20"/>
      <c r="F145" s="20"/>
      <c r="G145" s="21"/>
      <c r="H145" s="22"/>
    </row>
    <row r="146" spans="2:9" ht="14.25" x14ac:dyDescent="0.2">
      <c r="B146" s="37" t="s">
        <v>165</v>
      </c>
      <c r="C146" s="22" t="s">
        <v>159</v>
      </c>
      <c r="D146" s="34">
        <f>D115</f>
        <v>0</v>
      </c>
      <c r="E146" s="20" t="s">
        <v>49</v>
      </c>
      <c r="F146" s="20"/>
      <c r="G146" s="35" t="s">
        <v>88</v>
      </c>
      <c r="H146" s="22"/>
    </row>
    <row r="147" spans="2:9" ht="14.25" x14ac:dyDescent="0.2">
      <c r="B147" s="37" t="s">
        <v>166</v>
      </c>
      <c r="C147" s="22" t="s">
        <v>68</v>
      </c>
      <c r="D147" s="40" t="str">
        <f>D135</f>
        <v>N/A</v>
      </c>
      <c r="E147" s="20" t="s">
        <v>49</v>
      </c>
      <c r="F147" s="20"/>
      <c r="G147" s="35" t="s">
        <v>89</v>
      </c>
      <c r="H147" s="22"/>
    </row>
    <row r="148" spans="2:9" ht="15" thickBot="1" x14ac:dyDescent="0.25">
      <c r="B148" s="37" t="s">
        <v>167</v>
      </c>
      <c r="C148" s="22" t="s">
        <v>87</v>
      </c>
      <c r="D148" s="42">
        <f>D142</f>
        <v>4</v>
      </c>
      <c r="E148" s="20" t="s">
        <v>49</v>
      </c>
      <c r="F148" s="20"/>
      <c r="G148" s="35" t="s">
        <v>186</v>
      </c>
      <c r="H148" s="22"/>
    </row>
    <row r="149" spans="2:9" ht="15" thickBot="1" x14ac:dyDescent="0.25">
      <c r="B149" s="37" t="s">
        <v>168</v>
      </c>
      <c r="C149" s="22" t="s">
        <v>211</v>
      </c>
      <c r="D149" s="39">
        <f>SUM(D146:D148)</f>
        <v>4</v>
      </c>
      <c r="E149" s="20" t="s">
        <v>49</v>
      </c>
      <c r="F149" s="20"/>
      <c r="G149" s="35" t="s">
        <v>91</v>
      </c>
      <c r="H149" s="22"/>
    </row>
    <row r="150" spans="2:9" ht="14.25" x14ac:dyDescent="0.2">
      <c r="C150" s="22"/>
      <c r="D150" s="41"/>
      <c r="E150" s="20"/>
      <c r="F150" s="20"/>
      <c r="G150" s="21"/>
      <c r="H150" s="22"/>
    </row>
    <row r="151" spans="2:9" ht="15" x14ac:dyDescent="0.2">
      <c r="B151" s="28"/>
      <c r="C151" s="29" t="s">
        <v>13</v>
      </c>
      <c r="D151" s="30"/>
      <c r="E151" s="30"/>
      <c r="F151" s="30"/>
      <c r="G151" s="31"/>
      <c r="H151" s="32"/>
    </row>
    <row r="152" spans="2:9" ht="14.25" x14ac:dyDescent="0.2">
      <c r="B152" s="33" t="s">
        <v>72</v>
      </c>
      <c r="C152" s="22"/>
      <c r="D152" s="20"/>
      <c r="E152" s="20"/>
      <c r="F152" s="20"/>
      <c r="G152" s="21"/>
      <c r="H152" s="22"/>
    </row>
    <row r="153" spans="2:9" ht="14.25" x14ac:dyDescent="0.2">
      <c r="B153" s="16">
        <v>45</v>
      </c>
      <c r="C153" s="22" t="s">
        <v>14</v>
      </c>
      <c r="D153" s="34">
        <v>20</v>
      </c>
      <c r="E153" s="20" t="s">
        <v>49</v>
      </c>
      <c r="F153" s="20"/>
      <c r="G153" s="35"/>
      <c r="H153" s="22"/>
    </row>
    <row r="154" spans="2:9" ht="14.25" x14ac:dyDescent="0.2">
      <c r="B154" s="16">
        <v>46</v>
      </c>
      <c r="C154" s="21" t="s">
        <v>92</v>
      </c>
      <c r="D154" s="34">
        <f>IF((D73-35)&lt;0,0,ROUNDUP((D73-35)/10,0))</f>
        <v>0</v>
      </c>
      <c r="E154" s="20" t="s">
        <v>49</v>
      </c>
      <c r="F154" s="20"/>
      <c r="G154" s="35" t="s">
        <v>154</v>
      </c>
      <c r="H154" s="22"/>
    </row>
    <row r="155" spans="2:9" ht="28.5" x14ac:dyDescent="0.2">
      <c r="B155" s="16">
        <v>47</v>
      </c>
      <c r="C155" s="21" t="s">
        <v>93</v>
      </c>
      <c r="D155" s="42">
        <f>D153+D154</f>
        <v>20</v>
      </c>
      <c r="E155" s="20" t="s">
        <v>49</v>
      </c>
      <c r="F155" s="20"/>
      <c r="G155" s="35" t="s">
        <v>94</v>
      </c>
      <c r="H155" s="22"/>
    </row>
    <row r="156" spans="2:9" ht="14.25" x14ac:dyDescent="0.2">
      <c r="B156" s="37" t="s">
        <v>300</v>
      </c>
      <c r="C156" s="21" t="s">
        <v>301</v>
      </c>
      <c r="D156" s="51"/>
      <c r="E156" s="20" t="s">
        <v>49</v>
      </c>
      <c r="F156" s="20"/>
      <c r="G156" s="50"/>
      <c r="H156" s="22" t="s">
        <v>302</v>
      </c>
    </row>
    <row r="157" spans="2:9" ht="15" thickBot="1" x14ac:dyDescent="0.25">
      <c r="B157" s="37" t="s">
        <v>307</v>
      </c>
      <c r="C157" s="21" t="s">
        <v>303</v>
      </c>
      <c r="D157" s="51"/>
      <c r="E157" s="20" t="s">
        <v>49</v>
      </c>
      <c r="F157" s="20"/>
      <c r="G157" s="50"/>
      <c r="H157" s="22" t="s">
        <v>90</v>
      </c>
    </row>
    <row r="158" spans="2:9" ht="31.15" customHeight="1" thickBot="1" x14ac:dyDescent="0.25">
      <c r="B158" s="37">
        <v>48</v>
      </c>
      <c r="C158" s="21" t="s">
        <v>163</v>
      </c>
      <c r="D158" s="63">
        <f>IF(D143-D155&lt;0,0,ROUNDUP(D143-D155,0))</f>
        <v>0</v>
      </c>
      <c r="E158" s="20" t="s">
        <v>49</v>
      </c>
      <c r="F158" s="20"/>
      <c r="G158" s="35" t="s">
        <v>95</v>
      </c>
      <c r="H158" s="22"/>
    </row>
    <row r="159" spans="2:9" ht="31.15" customHeight="1" thickBot="1" x14ac:dyDescent="0.25">
      <c r="B159" s="37" t="s">
        <v>304</v>
      </c>
      <c r="C159" s="21" t="s">
        <v>308</v>
      </c>
      <c r="D159" s="65">
        <f>D155+D156+D157+D158</f>
        <v>20</v>
      </c>
      <c r="E159" s="20" t="s">
        <v>49</v>
      </c>
      <c r="F159" s="20"/>
      <c r="G159" s="35" t="str">
        <f>"Line 47 + Line 47a + Line 47b + Line 48;
Turns red if TAT-V &gt; "&amp;50+D157&amp;" seconds"</f>
        <v>Line 47 + Line 47a + Line 47b + Line 48;
Turns red if TAT-V &gt; 50 seconds</v>
      </c>
      <c r="H159" s="75" t="str">
        <f>"Reduce TAT-V &gt; "&amp;50+D157&amp;" to "&amp;50+D157&amp;" or discuss with railroad"</f>
        <v>Reduce TAT-V &gt; 50 to 50 or discuss with railroad</v>
      </c>
      <c r="I159" s="74"/>
    </row>
    <row r="160" spans="2:9" ht="30.6" customHeight="1" thickBot="1" x14ac:dyDescent="0.25">
      <c r="B160" s="37" t="s">
        <v>169</v>
      </c>
      <c r="C160" s="21" t="s">
        <v>310</v>
      </c>
      <c r="D160" s="64">
        <f>IF(D149-D155&lt;0,0,ROUNDUP(D149-D155-D158,0))</f>
        <v>0</v>
      </c>
      <c r="E160" s="20" t="s">
        <v>49</v>
      </c>
      <c r="F160" s="20"/>
      <c r="G160" s="35" t="s">
        <v>311</v>
      </c>
      <c r="H160" s="21" t="s">
        <v>312</v>
      </c>
    </row>
    <row r="161" spans="2:9" ht="30.6" customHeight="1" thickBot="1" x14ac:dyDescent="0.25">
      <c r="B161" s="37" t="s">
        <v>305</v>
      </c>
      <c r="C161" s="21" t="s">
        <v>309</v>
      </c>
      <c r="D161" s="66">
        <f>D159+D160</f>
        <v>20</v>
      </c>
      <c r="E161" s="20" t="s">
        <v>49</v>
      </c>
      <c r="F161" s="20"/>
      <c r="G161" s="35" t="s">
        <v>306</v>
      </c>
      <c r="H161" s="75" t="str">
        <f>"TAT-P &gt; "&amp;50+D157&amp;" requires
discussion with railroad"</f>
        <v>TAT-P &gt; 50 requires
discussion with railroad</v>
      </c>
      <c r="I161" s="74"/>
    </row>
    <row r="162" spans="2:9" ht="29.25" thickBot="1" x14ac:dyDescent="0.25">
      <c r="B162" s="37">
        <v>49</v>
      </c>
      <c r="C162" s="21" t="s">
        <v>164</v>
      </c>
      <c r="D162" s="52"/>
      <c r="E162" s="20" t="s">
        <v>49</v>
      </c>
      <c r="F162" s="20"/>
      <c r="G162" s="50"/>
      <c r="H162" s="22"/>
    </row>
    <row r="163" spans="2:9" ht="29.25" thickBot="1" x14ac:dyDescent="0.25">
      <c r="B163" s="37" t="s">
        <v>187</v>
      </c>
      <c r="C163" s="21" t="s">
        <v>299</v>
      </c>
      <c r="D163" s="53"/>
      <c r="E163" s="20" t="s">
        <v>49</v>
      </c>
      <c r="F163" s="20"/>
      <c r="G163" s="50"/>
      <c r="H163" s="22"/>
    </row>
    <row r="164" spans="2:9" ht="6" customHeight="1" thickBot="1" x14ac:dyDescent="0.25">
      <c r="C164" s="22"/>
      <c r="D164" s="20"/>
      <c r="E164" s="20"/>
      <c r="F164" s="20"/>
      <c r="G164" s="21"/>
      <c r="H164" s="22"/>
    </row>
    <row r="165" spans="2:9" ht="30" customHeight="1" thickBot="1" x14ac:dyDescent="0.25">
      <c r="B165" s="76" t="s">
        <v>204</v>
      </c>
      <c r="C165" s="77"/>
      <c r="D165" s="77"/>
      <c r="E165" s="77"/>
      <c r="F165" s="77"/>
      <c r="G165" s="78"/>
      <c r="H165" s="67"/>
    </row>
    <row r="166" spans="2:9" ht="9" customHeight="1" x14ac:dyDescent="0.2">
      <c r="C166" s="21"/>
      <c r="D166" s="43"/>
      <c r="E166" s="43"/>
      <c r="F166" s="43"/>
      <c r="G166" s="21"/>
      <c r="H166" s="22"/>
    </row>
    <row r="167" spans="2:9" ht="15" thickBot="1" x14ac:dyDescent="0.25">
      <c r="B167" s="74" t="s">
        <v>206</v>
      </c>
      <c r="C167" s="74"/>
      <c r="D167" s="74"/>
      <c r="E167" s="74"/>
      <c r="F167" s="74"/>
      <c r="G167" s="74"/>
      <c r="H167" s="22"/>
    </row>
    <row r="168" spans="2:9" ht="55.15" customHeight="1" thickBot="1" x14ac:dyDescent="0.25">
      <c r="B168" s="71"/>
      <c r="C168" s="72"/>
      <c r="D168" s="72"/>
      <c r="E168" s="72"/>
      <c r="F168" s="72"/>
      <c r="G168" s="73"/>
      <c r="H168" s="22"/>
    </row>
    <row r="169" spans="2:9" ht="14.25" x14ac:dyDescent="0.2">
      <c r="C169" s="22"/>
      <c r="D169" s="20"/>
      <c r="E169" s="20"/>
      <c r="F169" s="20"/>
      <c r="G169" s="21"/>
      <c r="H169" s="22"/>
    </row>
    <row r="170" spans="2:9" ht="15" x14ac:dyDescent="0.2">
      <c r="B170" s="28"/>
      <c r="C170" s="29" t="s">
        <v>15</v>
      </c>
      <c r="D170" s="30"/>
      <c r="E170" s="30"/>
      <c r="F170" s="30"/>
      <c r="G170" s="31"/>
      <c r="H170" s="32"/>
    </row>
    <row r="171" spans="2:9" ht="14.25" x14ac:dyDescent="0.2">
      <c r="C171" s="22"/>
      <c r="D171" s="20"/>
      <c r="E171" s="20"/>
      <c r="F171" s="20"/>
      <c r="G171" s="21"/>
      <c r="H171" s="22"/>
    </row>
    <row r="172" spans="2:9" ht="14.25" x14ac:dyDescent="0.2">
      <c r="B172" s="33" t="s">
        <v>72</v>
      </c>
      <c r="C172" s="27" t="s">
        <v>16</v>
      </c>
      <c r="D172" s="20"/>
      <c r="E172" s="20"/>
      <c r="F172" s="20"/>
      <c r="G172" s="21"/>
      <c r="H172" s="22"/>
    </row>
    <row r="173" spans="2:9" ht="14.25" x14ac:dyDescent="0.2">
      <c r="B173" s="16">
        <v>50</v>
      </c>
      <c r="C173" s="22" t="s">
        <v>17</v>
      </c>
      <c r="D173" s="49"/>
      <c r="E173" s="20"/>
      <c r="F173" s="20"/>
      <c r="G173" s="50"/>
      <c r="H173" s="22"/>
    </row>
    <row r="174" spans="2:9" ht="14.25" x14ac:dyDescent="0.2">
      <c r="B174" s="37">
        <v>51</v>
      </c>
      <c r="C174" s="22" t="s">
        <v>170</v>
      </c>
      <c r="D174" s="44">
        <f>MAX(D158,D162)</f>
        <v>0</v>
      </c>
      <c r="E174" s="20" t="s">
        <v>49</v>
      </c>
      <c r="F174" s="20"/>
      <c r="G174" s="35" t="s">
        <v>107</v>
      </c>
      <c r="H174" s="22"/>
    </row>
    <row r="175" spans="2:9" ht="14.25" x14ac:dyDescent="0.2">
      <c r="B175" s="37">
        <v>52</v>
      </c>
      <c r="C175" s="22" t="s">
        <v>171</v>
      </c>
      <c r="D175" s="34">
        <f>IF(D173="",0,LOOKUP(D173,'Supporting Data'!D50:D52,'Supporting Data'!E50:E52))</f>
        <v>0</v>
      </c>
      <c r="E175" s="20"/>
      <c r="F175" s="20"/>
      <c r="G175" s="35"/>
      <c r="H175" s="22"/>
    </row>
    <row r="176" spans="2:9" ht="14.25" x14ac:dyDescent="0.2">
      <c r="B176" s="37">
        <v>53</v>
      </c>
      <c r="C176" s="22" t="s">
        <v>172</v>
      </c>
      <c r="D176" s="34">
        <f>D174*D175</f>
        <v>0</v>
      </c>
      <c r="E176" s="20" t="s">
        <v>49</v>
      </c>
      <c r="F176" s="20"/>
      <c r="G176" s="35" t="s">
        <v>109</v>
      </c>
      <c r="H176" s="22"/>
    </row>
    <row r="177" spans="2:8" ht="14.25" x14ac:dyDescent="0.2">
      <c r="B177" s="16">
        <v>54</v>
      </c>
      <c r="C177" s="22" t="s">
        <v>104</v>
      </c>
      <c r="D177" s="34">
        <v>15</v>
      </c>
      <c r="E177" s="20" t="s">
        <v>49</v>
      </c>
      <c r="F177" s="20"/>
      <c r="G177" s="35" t="s">
        <v>76</v>
      </c>
      <c r="H177" s="22"/>
    </row>
    <row r="178" spans="2:8" ht="14.25" x14ac:dyDescent="0.2">
      <c r="B178" s="16">
        <v>55</v>
      </c>
      <c r="C178" s="22" t="s">
        <v>105</v>
      </c>
      <c r="D178" s="34">
        <f>D176+D177</f>
        <v>15</v>
      </c>
      <c r="E178" s="20" t="s">
        <v>49</v>
      </c>
      <c r="F178" s="20"/>
      <c r="G178" s="35" t="s">
        <v>106</v>
      </c>
      <c r="H178" s="22"/>
    </row>
    <row r="179" spans="2:8" ht="14.25" x14ac:dyDescent="0.2">
      <c r="C179" s="22"/>
      <c r="D179" s="20"/>
      <c r="E179" s="20"/>
      <c r="F179" s="20"/>
      <c r="G179" s="21"/>
      <c r="H179" s="22"/>
    </row>
    <row r="180" spans="2:8" ht="14.25" x14ac:dyDescent="0.2">
      <c r="B180" s="33" t="s">
        <v>72</v>
      </c>
      <c r="C180" s="27" t="s">
        <v>18</v>
      </c>
      <c r="D180" s="20"/>
      <c r="E180" s="20"/>
      <c r="F180" s="20"/>
      <c r="G180" s="21"/>
      <c r="H180" s="22"/>
    </row>
    <row r="181" spans="2:8" ht="14.25" x14ac:dyDescent="0.2">
      <c r="B181" s="16">
        <v>56</v>
      </c>
      <c r="C181" s="22" t="s">
        <v>212</v>
      </c>
      <c r="D181" s="34" t="str">
        <f>D128</f>
        <v/>
      </c>
      <c r="E181" s="20" t="s">
        <v>49</v>
      </c>
      <c r="F181" s="20"/>
      <c r="G181" s="35" t="s">
        <v>110</v>
      </c>
      <c r="H181" s="22"/>
    </row>
    <row r="182" spans="2:8" ht="14.25" x14ac:dyDescent="0.2">
      <c r="B182" s="16">
        <v>57</v>
      </c>
      <c r="C182" s="22" t="s">
        <v>64</v>
      </c>
      <c r="D182" s="34">
        <f>D130</f>
        <v>2</v>
      </c>
      <c r="E182" s="20" t="s">
        <v>49</v>
      </c>
      <c r="F182" s="20"/>
      <c r="G182" s="35" t="s">
        <v>117</v>
      </c>
      <c r="H182" s="22"/>
    </row>
    <row r="183" spans="2:8" ht="14.25" x14ac:dyDescent="0.2">
      <c r="B183" s="16">
        <v>58</v>
      </c>
      <c r="C183" s="22" t="s">
        <v>65</v>
      </c>
      <c r="D183" s="34">
        <f>D131</f>
        <v>0</v>
      </c>
      <c r="E183" s="20" t="s">
        <v>28</v>
      </c>
      <c r="F183" s="20"/>
      <c r="G183" s="35" t="s">
        <v>118</v>
      </c>
      <c r="H183" s="22"/>
    </row>
    <row r="184" spans="2:8" ht="28.5" x14ac:dyDescent="0.2">
      <c r="B184" s="16" t="s">
        <v>19</v>
      </c>
      <c r="C184" s="21" t="s">
        <v>21</v>
      </c>
      <c r="D184" s="34" t="str">
        <f>IF(D72&gt;D84,"No","Yes")</f>
        <v>Yes</v>
      </c>
      <c r="E184" s="20"/>
      <c r="F184" s="20"/>
      <c r="G184" s="35"/>
      <c r="H184" s="22"/>
    </row>
    <row r="185" spans="2:8" ht="14.25" x14ac:dyDescent="0.2">
      <c r="B185" s="16" t="s">
        <v>20</v>
      </c>
      <c r="C185" s="21" t="s">
        <v>213</v>
      </c>
      <c r="D185" s="49"/>
      <c r="E185" s="20"/>
      <c r="F185" s="20"/>
      <c r="G185" s="50"/>
      <c r="H185" s="22"/>
    </row>
    <row r="186" spans="2:8" ht="28.5" x14ac:dyDescent="0.2">
      <c r="B186" s="16">
        <v>59</v>
      </c>
      <c r="C186" s="22" t="s">
        <v>111</v>
      </c>
      <c r="D186" s="34">
        <f>IF(D184="Yes",D72,IF(D185="Yes",D72,D84))</f>
        <v>0</v>
      </c>
      <c r="E186" s="20" t="s">
        <v>28</v>
      </c>
      <c r="F186" s="20"/>
      <c r="G186" s="35" t="s">
        <v>122</v>
      </c>
      <c r="H186" s="22"/>
    </row>
    <row r="187" spans="2:8" ht="14.25" x14ac:dyDescent="0.2">
      <c r="B187" s="16">
        <v>60</v>
      </c>
      <c r="C187" s="22" t="s">
        <v>112</v>
      </c>
      <c r="D187" s="34">
        <f>D183+D186</f>
        <v>0</v>
      </c>
      <c r="E187" s="20" t="s">
        <v>28</v>
      </c>
      <c r="F187" s="20"/>
      <c r="G187" s="35" t="s">
        <v>119</v>
      </c>
      <c r="H187" s="22"/>
    </row>
    <row r="188" spans="2:8" ht="14.25" x14ac:dyDescent="0.2">
      <c r="B188" s="16">
        <v>61</v>
      </c>
      <c r="C188" s="22" t="s">
        <v>113</v>
      </c>
      <c r="D188" s="34">
        <f>'Supporting Data'!E62</f>
        <v>0</v>
      </c>
      <c r="E188" s="20" t="s">
        <v>49</v>
      </c>
      <c r="F188" s="20"/>
      <c r="G188" s="35" t="s">
        <v>45</v>
      </c>
      <c r="H188" s="22"/>
    </row>
    <row r="189" spans="2:8" ht="14.25" x14ac:dyDescent="0.2">
      <c r="B189" s="16">
        <v>62</v>
      </c>
      <c r="C189" s="22" t="s">
        <v>12</v>
      </c>
      <c r="D189" s="34" t="str">
        <f>'Supporting Data'!E73</f>
        <v>N/A</v>
      </c>
      <c r="E189" s="20"/>
      <c r="F189" s="20"/>
      <c r="G189" s="35" t="s">
        <v>214</v>
      </c>
      <c r="H189" s="22"/>
    </row>
    <row r="190" spans="2:8" ht="28.5" x14ac:dyDescent="0.2">
      <c r="B190" s="16">
        <v>63</v>
      </c>
      <c r="C190" s="21" t="s">
        <v>114</v>
      </c>
      <c r="D190" s="40" t="str">
        <f>IF(D189="N/A","N/A",D188*D189)</f>
        <v>N/A</v>
      </c>
      <c r="E190" s="20" t="s">
        <v>49</v>
      </c>
      <c r="F190" s="20"/>
      <c r="G190" s="35" t="s">
        <v>215</v>
      </c>
      <c r="H190" s="22"/>
    </row>
    <row r="191" spans="2:8" ht="15" thickBot="1" x14ac:dyDescent="0.25">
      <c r="B191" s="16">
        <v>64</v>
      </c>
      <c r="C191" s="22" t="s">
        <v>115</v>
      </c>
      <c r="D191" s="38" t="str">
        <f>IF(D190="N/A","N/A",D181+D182+D190)</f>
        <v>N/A</v>
      </c>
      <c r="E191" s="20" t="s">
        <v>49</v>
      </c>
      <c r="F191" s="20"/>
      <c r="G191" s="35" t="s">
        <v>120</v>
      </c>
      <c r="H191" s="22"/>
    </row>
    <row r="192" spans="2:8" ht="29.25" thickBot="1" x14ac:dyDescent="0.25">
      <c r="B192" s="16">
        <v>65</v>
      </c>
      <c r="C192" s="21" t="s">
        <v>116</v>
      </c>
      <c r="D192" s="36">
        <f>ROUNDUP(MAX(D178,D191),0)</f>
        <v>15</v>
      </c>
      <c r="E192" s="20" t="s">
        <v>49</v>
      </c>
      <c r="F192" s="20"/>
      <c r="G192" s="35" t="s">
        <v>121</v>
      </c>
      <c r="H192" s="22"/>
    </row>
    <row r="193" spans="2:8" ht="14.25" x14ac:dyDescent="0.2">
      <c r="C193" s="22"/>
      <c r="D193" s="20"/>
      <c r="E193" s="20"/>
      <c r="F193" s="20"/>
      <c r="G193" s="21"/>
      <c r="H193" s="22"/>
    </row>
    <row r="194" spans="2:8" ht="14.25" x14ac:dyDescent="0.2">
      <c r="B194" s="33" t="s">
        <v>72</v>
      </c>
      <c r="C194" s="27" t="s">
        <v>22</v>
      </c>
      <c r="D194" s="20"/>
      <c r="E194" s="20"/>
      <c r="F194" s="20"/>
      <c r="G194" s="21"/>
      <c r="H194" s="22"/>
    </row>
    <row r="195" spans="2:8" ht="14.25" x14ac:dyDescent="0.2">
      <c r="C195" s="45" t="s">
        <v>178</v>
      </c>
      <c r="D195" s="20"/>
      <c r="E195" s="20"/>
      <c r="F195" s="20"/>
      <c r="G195" s="21"/>
      <c r="H195" s="22"/>
    </row>
    <row r="196" spans="2:8" ht="14.25" x14ac:dyDescent="0.2">
      <c r="B196" s="37">
        <v>66</v>
      </c>
      <c r="C196" s="22" t="s">
        <v>123</v>
      </c>
      <c r="D196" s="34">
        <f>D114+D192</f>
        <v>15</v>
      </c>
      <c r="E196" s="20" t="s">
        <v>49</v>
      </c>
      <c r="F196" s="20"/>
      <c r="G196" s="35" t="s">
        <v>176</v>
      </c>
      <c r="H196" s="22"/>
    </row>
    <row r="197" spans="2:8" ht="15" thickBot="1" x14ac:dyDescent="0.25">
      <c r="B197" s="37">
        <v>67</v>
      </c>
      <c r="C197" s="22" t="s">
        <v>124</v>
      </c>
      <c r="D197" s="38">
        <f>D143-5</f>
        <v>-1</v>
      </c>
      <c r="E197" s="20" t="s">
        <v>49</v>
      </c>
      <c r="F197" s="20"/>
      <c r="G197" s="35" t="s">
        <v>127</v>
      </c>
      <c r="H197" s="22"/>
    </row>
    <row r="198" spans="2:8" ht="29.25" thickBot="1" x14ac:dyDescent="0.25">
      <c r="B198" s="37">
        <v>68</v>
      </c>
      <c r="C198" s="21" t="s">
        <v>125</v>
      </c>
      <c r="D198" s="46">
        <f>D196-D197</f>
        <v>16</v>
      </c>
      <c r="E198" s="20" t="s">
        <v>49</v>
      </c>
      <c r="F198" s="20"/>
      <c r="G198" s="35" t="s">
        <v>128</v>
      </c>
      <c r="H198" s="22"/>
    </row>
    <row r="199" spans="2:8" ht="14.25" x14ac:dyDescent="0.2">
      <c r="B199" s="37"/>
      <c r="C199" s="47" t="s">
        <v>179</v>
      </c>
      <c r="D199" s="48"/>
      <c r="E199" s="20"/>
      <c r="F199" s="20"/>
      <c r="G199" s="21"/>
      <c r="H199" s="22"/>
    </row>
    <row r="200" spans="2:8" ht="14.25" x14ac:dyDescent="0.2">
      <c r="B200" s="37" t="s">
        <v>173</v>
      </c>
      <c r="C200" s="22" t="s">
        <v>123</v>
      </c>
      <c r="D200" s="34">
        <f>D115+D192</f>
        <v>15</v>
      </c>
      <c r="E200" s="20" t="s">
        <v>49</v>
      </c>
      <c r="F200" s="20"/>
      <c r="G200" s="35" t="s">
        <v>126</v>
      </c>
      <c r="H200" s="22"/>
    </row>
    <row r="201" spans="2:8" ht="15" thickBot="1" x14ac:dyDescent="0.25">
      <c r="B201" s="37" t="s">
        <v>174</v>
      </c>
      <c r="C201" s="22" t="s">
        <v>124</v>
      </c>
      <c r="D201" s="38">
        <f>D149-5</f>
        <v>-1</v>
      </c>
      <c r="E201" s="20" t="s">
        <v>49</v>
      </c>
      <c r="F201" s="20"/>
      <c r="G201" s="35" t="s">
        <v>177</v>
      </c>
      <c r="H201" s="22"/>
    </row>
    <row r="202" spans="2:8" ht="29.25" thickBot="1" x14ac:dyDescent="0.25">
      <c r="B202" s="37" t="s">
        <v>175</v>
      </c>
      <c r="C202" s="21" t="s">
        <v>125</v>
      </c>
      <c r="D202" s="46">
        <f>D200-D201</f>
        <v>16</v>
      </c>
      <c r="E202" s="20" t="s">
        <v>49</v>
      </c>
      <c r="F202" s="20"/>
      <c r="G202" s="35" t="s">
        <v>217</v>
      </c>
      <c r="H202" s="22"/>
    </row>
    <row r="203" spans="2:8" ht="15" thickBot="1" x14ac:dyDescent="0.25">
      <c r="C203" s="21"/>
      <c r="D203" s="48"/>
      <c r="E203" s="20"/>
      <c r="F203" s="20"/>
      <c r="G203" s="21"/>
      <c r="H203" s="22"/>
    </row>
    <row r="204" spans="2:8" ht="15" thickBot="1" x14ac:dyDescent="0.25">
      <c r="B204" s="37" t="s">
        <v>180</v>
      </c>
      <c r="C204" s="21" t="s">
        <v>216</v>
      </c>
      <c r="D204" s="46" t="str">
        <f>IF(D198=D202,"Yes","No")</f>
        <v>Yes</v>
      </c>
      <c r="E204" s="20"/>
      <c r="F204" s="20"/>
      <c r="G204" s="35"/>
      <c r="H204" s="22"/>
    </row>
    <row r="205" spans="2:8" ht="14.25" x14ac:dyDescent="0.2">
      <c r="C205" s="22"/>
      <c r="D205" s="20"/>
      <c r="E205" s="20"/>
      <c r="F205" s="20"/>
      <c r="G205" s="21"/>
      <c r="H205" s="22"/>
    </row>
    <row r="206" spans="2:8" ht="15" x14ac:dyDescent="0.2">
      <c r="B206" s="28"/>
      <c r="C206" s="29" t="s">
        <v>23</v>
      </c>
      <c r="D206" s="30"/>
      <c r="E206" s="30"/>
      <c r="F206" s="30"/>
      <c r="G206" s="31"/>
      <c r="H206" s="32"/>
    </row>
    <row r="207" spans="2:8" ht="15" x14ac:dyDescent="0.2">
      <c r="C207" s="26"/>
      <c r="D207" s="20"/>
      <c r="E207" s="20"/>
      <c r="F207" s="20"/>
      <c r="G207" s="21"/>
      <c r="H207" s="22"/>
    </row>
    <row r="208" spans="2:8" ht="14.25" x14ac:dyDescent="0.2">
      <c r="B208" s="33" t="s">
        <v>72</v>
      </c>
      <c r="C208" s="27" t="s">
        <v>203</v>
      </c>
      <c r="D208" s="20"/>
      <c r="E208" s="20"/>
      <c r="F208" s="20"/>
      <c r="G208" s="21"/>
      <c r="H208" s="22"/>
    </row>
    <row r="209" spans="2:8" ht="28.5" x14ac:dyDescent="0.2">
      <c r="B209" s="16">
        <v>69</v>
      </c>
      <c r="C209" s="22" t="s">
        <v>129</v>
      </c>
      <c r="D209" s="34">
        <v>0</v>
      </c>
      <c r="E209" s="20" t="s">
        <v>49</v>
      </c>
      <c r="F209" s="20"/>
      <c r="G209" s="35" t="s">
        <v>184</v>
      </c>
      <c r="H209" s="22"/>
    </row>
    <row r="210" spans="2:8" ht="14.25" x14ac:dyDescent="0.2">
      <c r="B210" s="16">
        <v>70</v>
      </c>
      <c r="C210" s="22" t="s">
        <v>130</v>
      </c>
      <c r="D210" s="34">
        <f>D93</f>
        <v>0</v>
      </c>
      <c r="E210" s="20" t="s">
        <v>49</v>
      </c>
      <c r="F210" s="20"/>
      <c r="G210" s="35" t="s">
        <v>131</v>
      </c>
      <c r="H210" s="22"/>
    </row>
    <row r="211" spans="2:8" ht="14.25" x14ac:dyDescent="0.2">
      <c r="C211" s="22"/>
      <c r="D211" s="20"/>
      <c r="E211" s="20"/>
      <c r="F211" s="20"/>
      <c r="G211" s="21"/>
      <c r="H211" s="22"/>
    </row>
    <row r="212" spans="2:8" ht="14.25" x14ac:dyDescent="0.2">
      <c r="B212" s="33" t="s">
        <v>72</v>
      </c>
      <c r="C212" s="27" t="s">
        <v>24</v>
      </c>
      <c r="D212" s="20"/>
      <c r="E212" s="20"/>
      <c r="F212" s="20"/>
      <c r="G212" s="21"/>
      <c r="H212" s="22"/>
    </row>
    <row r="213" spans="2:8" ht="14.25" x14ac:dyDescent="0.2">
      <c r="B213" s="16">
        <v>71</v>
      </c>
      <c r="C213" s="22" t="s">
        <v>138</v>
      </c>
      <c r="D213" s="34">
        <f>D99</f>
        <v>0</v>
      </c>
      <c r="E213" s="20" t="s">
        <v>49</v>
      </c>
      <c r="F213" s="20"/>
      <c r="G213" s="35" t="s">
        <v>132</v>
      </c>
      <c r="H213" s="22"/>
    </row>
    <row r="214" spans="2:8" ht="14.25" x14ac:dyDescent="0.2">
      <c r="B214" s="16">
        <v>72</v>
      </c>
      <c r="C214" s="22" t="s">
        <v>139</v>
      </c>
      <c r="D214" s="34">
        <f>D107</f>
        <v>0</v>
      </c>
      <c r="E214" s="20" t="s">
        <v>49</v>
      </c>
      <c r="F214" s="20"/>
      <c r="G214" s="35" t="s">
        <v>133</v>
      </c>
      <c r="H214" s="22"/>
    </row>
    <row r="215" spans="2:8" ht="14.25" x14ac:dyDescent="0.2">
      <c r="B215" s="16">
        <v>73</v>
      </c>
      <c r="C215" s="22" t="s">
        <v>140</v>
      </c>
      <c r="D215" s="34">
        <f>D108</f>
        <v>0</v>
      </c>
      <c r="E215" s="20" t="s">
        <v>49</v>
      </c>
      <c r="F215" s="20"/>
      <c r="G215" s="35" t="s">
        <v>134</v>
      </c>
      <c r="H215" s="22"/>
    </row>
    <row r="216" spans="2:8" ht="14.25" x14ac:dyDescent="0.2">
      <c r="B216" s="16">
        <v>74</v>
      </c>
      <c r="C216" s="22" t="s">
        <v>141</v>
      </c>
      <c r="D216" s="34">
        <f>D101</f>
        <v>0</v>
      </c>
      <c r="E216" s="20" t="s">
        <v>49</v>
      </c>
      <c r="F216" s="20"/>
      <c r="G216" s="35" t="s">
        <v>135</v>
      </c>
      <c r="H216" s="22"/>
    </row>
    <row r="217" spans="2:8" ht="14.25" x14ac:dyDescent="0.2">
      <c r="B217" s="16">
        <v>75</v>
      </c>
      <c r="C217" s="22" t="s">
        <v>142</v>
      </c>
      <c r="D217" s="34">
        <f>D102</f>
        <v>0</v>
      </c>
      <c r="E217" s="20" t="s">
        <v>49</v>
      </c>
      <c r="F217" s="20"/>
      <c r="G217" s="35" t="s">
        <v>136</v>
      </c>
      <c r="H217" s="22"/>
    </row>
    <row r="218" spans="2:8" ht="14.25" x14ac:dyDescent="0.2">
      <c r="C218" s="22"/>
      <c r="D218" s="20"/>
      <c r="E218" s="20"/>
      <c r="F218" s="20"/>
      <c r="G218" s="21"/>
      <c r="H218" s="22"/>
    </row>
    <row r="219" spans="2:8" ht="14.25" x14ac:dyDescent="0.2">
      <c r="B219" s="33" t="s">
        <v>72</v>
      </c>
      <c r="C219" s="27" t="s">
        <v>25</v>
      </c>
      <c r="D219" s="20"/>
      <c r="E219" s="20"/>
      <c r="F219" s="20"/>
      <c r="G219" s="21"/>
      <c r="H219" s="22"/>
    </row>
    <row r="220" spans="2:8" ht="14.25" x14ac:dyDescent="0.2">
      <c r="B220" s="16">
        <v>76</v>
      </c>
      <c r="C220" s="22" t="s">
        <v>143</v>
      </c>
      <c r="D220" s="34">
        <f>D192</f>
        <v>15</v>
      </c>
      <c r="E220" s="20" t="s">
        <v>49</v>
      </c>
      <c r="F220" s="20"/>
      <c r="G220" s="35" t="s">
        <v>137</v>
      </c>
      <c r="H220" s="22"/>
    </row>
    <row r="221" spans="2:8" ht="14.25" x14ac:dyDescent="0.2">
      <c r="B221" s="16">
        <v>77</v>
      </c>
      <c r="C221" s="22" t="s">
        <v>144</v>
      </c>
      <c r="D221" s="40" t="str">
        <f>D135</f>
        <v>N/A</v>
      </c>
      <c r="E221" s="20" t="s">
        <v>49</v>
      </c>
      <c r="F221" s="20"/>
      <c r="G221" s="35" t="s">
        <v>89</v>
      </c>
      <c r="H221" s="22"/>
    </row>
    <row r="222" spans="2:8" ht="14.25" x14ac:dyDescent="0.2">
      <c r="B222" s="16">
        <v>78</v>
      </c>
      <c r="C222" s="22" t="s">
        <v>141</v>
      </c>
      <c r="D222" s="34">
        <f>D101</f>
        <v>0</v>
      </c>
      <c r="E222" s="20" t="s">
        <v>49</v>
      </c>
      <c r="F222" s="20"/>
      <c r="G222" s="35" t="s">
        <v>135</v>
      </c>
      <c r="H222" s="22"/>
    </row>
    <row r="223" spans="2:8" ht="14.25" x14ac:dyDescent="0.2">
      <c r="B223" s="16">
        <v>79</v>
      </c>
      <c r="C223" s="22" t="s">
        <v>142</v>
      </c>
      <c r="D223" s="34">
        <f>D102</f>
        <v>0</v>
      </c>
      <c r="E223" s="20" t="s">
        <v>49</v>
      </c>
      <c r="F223" s="20"/>
      <c r="G223" s="35" t="s">
        <v>136</v>
      </c>
      <c r="H223" s="22"/>
    </row>
    <row r="224" spans="2:8" ht="14.25" x14ac:dyDescent="0.2">
      <c r="C224" s="22"/>
      <c r="D224" s="20"/>
      <c r="E224" s="20"/>
      <c r="F224" s="20"/>
      <c r="G224" s="21"/>
      <c r="H224" s="22"/>
    </row>
    <row r="225" spans="2:8" ht="14.25" x14ac:dyDescent="0.2">
      <c r="B225" s="33" t="s">
        <v>72</v>
      </c>
      <c r="C225" s="27" t="s">
        <v>26</v>
      </c>
      <c r="D225" s="20"/>
      <c r="E225" s="20"/>
      <c r="F225" s="20"/>
      <c r="G225" s="21"/>
      <c r="H225" s="22"/>
    </row>
    <row r="226" spans="2:8" ht="42.75" x14ac:dyDescent="0.2">
      <c r="B226" s="16">
        <v>80</v>
      </c>
      <c r="C226" s="22" t="s">
        <v>145</v>
      </c>
      <c r="D226" s="34">
        <v>0</v>
      </c>
      <c r="E226" s="20" t="s">
        <v>49</v>
      </c>
      <c r="F226" s="20"/>
      <c r="G226" s="35" t="s">
        <v>185</v>
      </c>
      <c r="H226" s="22"/>
    </row>
    <row r="227" spans="2:8" ht="14.25" x14ac:dyDescent="0.2">
      <c r="B227" s="16">
        <v>81</v>
      </c>
      <c r="C227" s="22" t="s">
        <v>141</v>
      </c>
      <c r="D227" s="34">
        <f>D101</f>
        <v>0</v>
      </c>
      <c r="E227" s="20" t="s">
        <v>49</v>
      </c>
      <c r="F227" s="20"/>
      <c r="G227" s="35" t="s">
        <v>135</v>
      </c>
      <c r="H227" s="22"/>
    </row>
    <row r="228" spans="2:8" ht="14.25" x14ac:dyDescent="0.2">
      <c r="B228" s="16">
        <v>82</v>
      </c>
      <c r="C228" s="22" t="s">
        <v>142</v>
      </c>
      <c r="D228" s="34">
        <f>D102</f>
        <v>0</v>
      </c>
      <c r="E228" s="20" t="s">
        <v>49</v>
      </c>
      <c r="F228" s="20"/>
      <c r="G228" s="35" t="s">
        <v>136</v>
      </c>
      <c r="H228" s="22"/>
    </row>
  </sheetData>
  <sheetProtection algorithmName="SHA-512" hashValue="I9tjnsjnMgDwaYURBqyhICMO0mCmYjnAjz+ztkXIAz82JDgdficAhe1QdOkum78x/Ml0RuinkQPK/Rfw/izptw==" saltValue="Mj2gqxJicqfFU2pbH4ybpg==" spinCount="100000" sheet="1" objects="1" scenarios="1"/>
  <sortState xmlns:xlrd2="http://schemas.microsoft.com/office/spreadsheetml/2017/richdata2" ref="M72:M75">
    <sortCondition ref="M72"/>
  </sortState>
  <mergeCells count="22">
    <mergeCell ref="B168:G168"/>
    <mergeCell ref="D26:E26"/>
    <mergeCell ref="B167:G167"/>
    <mergeCell ref="H161:I161"/>
    <mergeCell ref="H159:I159"/>
    <mergeCell ref="D27:E27"/>
    <mergeCell ref="B165:G165"/>
    <mergeCell ref="D6:E6"/>
    <mergeCell ref="D7:E7"/>
    <mergeCell ref="D10:E10"/>
    <mergeCell ref="D11:E11"/>
    <mergeCell ref="D12:E12"/>
    <mergeCell ref="D14:E14"/>
    <mergeCell ref="D15:E15"/>
    <mergeCell ref="D16:E16"/>
    <mergeCell ref="D17:E17"/>
    <mergeCell ref="D18:E18"/>
    <mergeCell ref="D19:E19"/>
    <mergeCell ref="D22:E22"/>
    <mergeCell ref="D23:E23"/>
    <mergeCell ref="D24:E24"/>
    <mergeCell ref="D25:E25"/>
  </mergeCells>
  <conditionalFormatting sqref="D159">
    <cfRule type="cellIs" dxfId="1" priority="2" operator="greaterThan">
      <formula>50+$D$157</formula>
    </cfRule>
  </conditionalFormatting>
  <conditionalFormatting sqref="D161">
    <cfRule type="cellIs" dxfId="0" priority="1" operator="greaterThan">
      <formula>50+$D$157</formula>
    </cfRule>
  </conditionalFormatting>
  <printOptions horizontalCentered="1"/>
  <pageMargins left="0.5" right="0.5" top="0.9" bottom="0.5" header="0.3" footer="0.3"/>
  <pageSetup scale="60" fitToHeight="0" orientation="portrait" horizontalDpi="1200" verticalDpi="1200" r:id="rId1"/>
  <headerFooter>
    <oddFooter>&amp;LWSDOT Railroad Preemption Worksheet
&amp;"Arial,Italic"v2023.07.20&amp;C&amp;F&amp;RPage &amp;P of &amp;N</oddFooter>
    <firstHeader>&amp;R&amp;F</firstHeader>
    <firstFooter>&amp;LWSDOT Railroad Preemption Worksheet
&amp;"Arial,Italic"v2022.06.24&amp;RPage &amp;P of &amp;N</firstFooter>
  </headerFooter>
  <rowBreaks count="3" manualBreakCount="3">
    <brk id="68" max="7" man="1"/>
    <brk id="116" max="7" man="1"/>
    <brk id="169" max="7" man="1"/>
  </rowBreaks>
  <colBreaks count="1" manualBreakCount="1">
    <brk id="8" max="1048575" man="1"/>
  </colBreaks>
  <ignoredErrors>
    <ignoredError sqref="D103 D111" formulaRange="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18C8A8-04D7-4285-9C40-2F9288965136}">
          <x14:formula1>
            <xm:f>'Supporting Data'!$D$7:$D$10</xm:f>
          </x14:formula1>
          <xm:sqref>D81</xm:sqref>
        </x14:dataValidation>
        <x14:dataValidation type="list" allowBlank="1" showInputMessage="1" showErrorMessage="1" xr:uid="{83DA747B-9B01-4E04-831C-390B1C9A1659}">
          <x14:formula1>
            <xm:f>'Supporting Data'!$D$14:$D$15</xm:f>
          </x14:formula1>
          <xm:sqref>D119</xm:sqref>
        </x14:dataValidation>
        <x14:dataValidation type="list" allowBlank="1" showInputMessage="1" showErrorMessage="1" xr:uid="{57547A74-6D68-4463-A360-8E9B19342320}">
          <x14:formula1>
            <xm:f>'Supporting Data'!$D$50:$D$52</xm:f>
          </x14:formula1>
          <xm:sqref>D173</xm:sqref>
        </x14:dataValidation>
        <x14:dataValidation type="list" allowBlank="1" showInputMessage="1" showErrorMessage="1" xr:uid="{33C30203-EC70-47C5-85D7-C52785F2A2E7}">
          <x14:formula1>
            <xm:f>'Supporting Data'!$D$55:$D$56</xm:f>
          </x14:formula1>
          <xm:sqref>D185</xm:sqref>
        </x14:dataValidation>
        <x14:dataValidation type="list" allowBlank="1" showInputMessage="1" showErrorMessage="1" xr:uid="{6C8E0C43-B5EC-4360-92F9-E7BEC97C7A74}">
          <x14:formula1>
            <xm:f>'Supporting Data'!$L$14:$L$17</xm:f>
          </x14:formula1>
          <xm:sqref>D120</xm:sqref>
        </x14:dataValidation>
        <x14:dataValidation type="list" allowBlank="1" showInputMessage="1" showErrorMessage="1" xr:uid="{4BC27094-3C9E-4D06-9607-110046184EC2}">
          <x14:formula1>
            <xm:f>'Supporting Data'!$P$6:$P$21</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55CA-B5D9-4AD3-A81F-1652E2BF0E99}">
  <sheetPr>
    <pageSetUpPr fitToPage="1"/>
  </sheetPr>
  <dimension ref="C2:AF84"/>
  <sheetViews>
    <sheetView workbookViewId="0">
      <selection activeCell="N73" sqref="N73"/>
    </sheetView>
  </sheetViews>
  <sheetFormatPr defaultRowHeight="12.75" x14ac:dyDescent="0.2"/>
  <cols>
    <col min="1" max="1" width="1.85546875" customWidth="1"/>
    <col min="2" max="2" width="4.28515625" customWidth="1"/>
    <col min="4" max="4" width="16.28515625" bestFit="1" customWidth="1"/>
    <col min="5" max="5" width="13.7109375" bestFit="1" customWidth="1"/>
    <col min="6" max="6" width="14" bestFit="1" customWidth="1"/>
    <col min="7" max="7" width="16.140625" bestFit="1" customWidth="1"/>
    <col min="8" max="8" width="17.42578125" bestFit="1" customWidth="1"/>
    <col min="9" max="9" width="7" bestFit="1" customWidth="1"/>
    <col min="10" max="10" width="11.140625" bestFit="1" customWidth="1"/>
    <col min="11" max="11" width="7" bestFit="1" customWidth="1"/>
    <col min="12" max="12" width="24.85546875" bestFit="1" customWidth="1"/>
    <col min="13" max="13" width="8.5703125" bestFit="1" customWidth="1"/>
    <col min="14" max="14" width="9.140625" customWidth="1"/>
    <col min="15" max="15" width="3.28515625" customWidth="1"/>
    <col min="16" max="16" width="8.140625" bestFit="1" customWidth="1"/>
    <col min="17" max="17" width="5.5703125" bestFit="1" customWidth="1"/>
    <col min="18" max="18" width="7" bestFit="1" customWidth="1"/>
    <col min="19" max="19" width="5.85546875" bestFit="1" customWidth="1"/>
    <col min="20" max="20" width="4.140625" bestFit="1" customWidth="1"/>
    <col min="21" max="24" width="5" bestFit="1" customWidth="1"/>
    <col min="25" max="25" width="7" bestFit="1" customWidth="1"/>
    <col min="26" max="26" width="8.42578125" bestFit="1" customWidth="1"/>
    <col min="27" max="27" width="6.5703125" bestFit="1" customWidth="1"/>
    <col min="28" max="28" width="5.5703125" bestFit="1" customWidth="1"/>
    <col min="29" max="29" width="8.28515625" bestFit="1" customWidth="1"/>
    <col min="30" max="31" width="5.85546875" bestFit="1" customWidth="1"/>
  </cols>
  <sheetData>
    <row r="2" spans="3:16" x14ac:dyDescent="0.2">
      <c r="C2" s="10" t="s">
        <v>219</v>
      </c>
    </row>
    <row r="3" spans="3:16" x14ac:dyDescent="0.2">
      <c r="C3" s="15" t="s">
        <v>218</v>
      </c>
    </row>
    <row r="5" spans="3:16" x14ac:dyDescent="0.2">
      <c r="C5" t="s">
        <v>72</v>
      </c>
      <c r="D5" s="2">
        <v>8</v>
      </c>
      <c r="E5" s="2">
        <v>9</v>
      </c>
      <c r="F5" s="2">
        <v>11</v>
      </c>
      <c r="G5" s="1"/>
      <c r="P5" t="s">
        <v>282</v>
      </c>
    </row>
    <row r="6" spans="3:16" x14ac:dyDescent="0.2">
      <c r="D6" s="2" t="s">
        <v>42</v>
      </c>
      <c r="E6" s="2" t="s">
        <v>44</v>
      </c>
      <c r="F6" s="2" t="s">
        <v>47</v>
      </c>
      <c r="G6" s="1"/>
      <c r="P6" s="4" t="s">
        <v>283</v>
      </c>
    </row>
    <row r="7" spans="3:16" x14ac:dyDescent="0.2">
      <c r="D7" s="2" t="s">
        <v>280</v>
      </c>
      <c r="E7" s="2">
        <v>75</v>
      </c>
      <c r="F7" s="2">
        <v>41</v>
      </c>
      <c r="G7" s="1"/>
      <c r="P7" s="4" t="s">
        <v>298</v>
      </c>
    </row>
    <row r="8" spans="3:16" x14ac:dyDescent="0.2">
      <c r="D8" s="2" t="s">
        <v>43</v>
      </c>
      <c r="E8" s="2">
        <v>40</v>
      </c>
      <c r="F8" s="2">
        <v>35.4</v>
      </c>
      <c r="G8" s="1"/>
      <c r="P8" s="4" t="s">
        <v>297</v>
      </c>
    </row>
    <row r="9" spans="3:16" x14ac:dyDescent="0.2">
      <c r="D9" s="2" t="s">
        <v>279</v>
      </c>
      <c r="E9" s="2">
        <v>55</v>
      </c>
      <c r="F9" s="2">
        <v>41</v>
      </c>
      <c r="G9" s="1"/>
      <c r="P9" s="4" t="s">
        <v>296</v>
      </c>
    </row>
    <row r="10" spans="3:16" x14ac:dyDescent="0.2">
      <c r="D10" s="2" t="s">
        <v>278</v>
      </c>
      <c r="E10" s="2">
        <v>75</v>
      </c>
      <c r="F10" s="2">
        <v>41</v>
      </c>
      <c r="G10" s="1"/>
      <c r="P10" s="4" t="s">
        <v>295</v>
      </c>
    </row>
    <row r="11" spans="3:16" x14ac:dyDescent="0.2">
      <c r="P11" s="4" t="s">
        <v>294</v>
      </c>
    </row>
    <row r="12" spans="3:16" x14ac:dyDescent="0.2">
      <c r="C12" t="s">
        <v>72</v>
      </c>
      <c r="D12" s="2">
        <v>28</v>
      </c>
      <c r="E12" s="2">
        <v>29</v>
      </c>
      <c r="F12" s="2">
        <v>30</v>
      </c>
      <c r="G12" s="2">
        <v>31</v>
      </c>
      <c r="H12" s="2">
        <v>32</v>
      </c>
      <c r="I12" s="2">
        <v>33</v>
      </c>
      <c r="J12" s="1"/>
      <c r="L12" s="2" t="s">
        <v>264</v>
      </c>
      <c r="M12" s="2" t="s">
        <v>265</v>
      </c>
      <c r="P12" s="4" t="s">
        <v>293</v>
      </c>
    </row>
    <row r="13" spans="3:16" x14ac:dyDescent="0.2">
      <c r="D13" s="2" t="s">
        <v>69</v>
      </c>
      <c r="E13" s="2" t="s">
        <v>74</v>
      </c>
      <c r="F13" s="2" t="s">
        <v>75</v>
      </c>
      <c r="G13" s="2"/>
      <c r="H13" s="2"/>
      <c r="I13" s="2"/>
      <c r="J13" s="1"/>
      <c r="L13" s="4" t="s">
        <v>42</v>
      </c>
      <c r="M13" s="4" t="s">
        <v>44</v>
      </c>
      <c r="P13" s="4" t="s">
        <v>292</v>
      </c>
    </row>
    <row r="14" spans="3:16" x14ac:dyDescent="0.2">
      <c r="D14" s="2" t="s">
        <v>71</v>
      </c>
      <c r="E14" s="2">
        <v>0</v>
      </c>
      <c r="F14" s="2">
        <v>10</v>
      </c>
      <c r="G14" s="2">
        <v>0</v>
      </c>
      <c r="H14" s="2">
        <v>0</v>
      </c>
      <c r="I14" s="2">
        <v>0</v>
      </c>
      <c r="J14" s="1"/>
      <c r="L14" s="4" t="s">
        <v>280</v>
      </c>
      <c r="M14" s="4">
        <v>75</v>
      </c>
      <c r="P14" s="4" t="s">
        <v>291</v>
      </c>
    </row>
    <row r="15" spans="3:16" x14ac:dyDescent="0.2">
      <c r="D15" s="2" t="s">
        <v>70</v>
      </c>
      <c r="E15" s="2">
        <f>ROUNDUP((PI()*E17*E18)/180,0)</f>
        <v>0</v>
      </c>
      <c r="F15" s="2">
        <v>10</v>
      </c>
      <c r="G15" s="2">
        <f>ROUNDUP((Worksheet!D75+Worksheet!D76+Worksheet!D86-Worksheet!D85)+E15+Worksheet!D123,0)</f>
        <v>19</v>
      </c>
      <c r="H15" s="2">
        <f>ROUNDDOWN(((G15*3600)/(F15*5280))-Worksheet!D101-Worksheet!D102,1)</f>
        <v>1.2</v>
      </c>
      <c r="I15" s="2">
        <f>H15</f>
        <v>1.2</v>
      </c>
      <c r="J15" s="1"/>
      <c r="L15" s="4" t="s">
        <v>43</v>
      </c>
      <c r="M15" s="4">
        <v>40</v>
      </c>
      <c r="P15" s="4" t="s">
        <v>290</v>
      </c>
    </row>
    <row r="16" spans="3:16" ht="51" x14ac:dyDescent="0.2">
      <c r="D16" s="7" t="s">
        <v>78</v>
      </c>
      <c r="E16" s="7" t="s">
        <v>73</v>
      </c>
      <c r="F16" s="7" t="s">
        <v>76</v>
      </c>
      <c r="G16" s="7" t="s">
        <v>277</v>
      </c>
      <c r="H16" s="8" t="s">
        <v>84</v>
      </c>
      <c r="I16" s="9" t="s">
        <v>77</v>
      </c>
      <c r="J16" s="3"/>
      <c r="L16" s="4" t="s">
        <v>279</v>
      </c>
      <c r="M16" s="4">
        <v>55</v>
      </c>
      <c r="P16" s="4" t="s">
        <v>289</v>
      </c>
    </row>
    <row r="17" spans="3:27" x14ac:dyDescent="0.2">
      <c r="D17" s="2" t="s">
        <v>79</v>
      </c>
      <c r="E17" s="2">
        <f>Worksheet!D85</f>
        <v>0</v>
      </c>
      <c r="F17" s="6"/>
      <c r="G17" s="6"/>
      <c r="H17" s="6"/>
      <c r="I17" s="6"/>
      <c r="L17" s="4" t="s">
        <v>278</v>
      </c>
      <c r="M17" s="4">
        <v>75</v>
      </c>
      <c r="P17" s="4" t="s">
        <v>288</v>
      </c>
    </row>
    <row r="18" spans="3:27" x14ac:dyDescent="0.2">
      <c r="D18" s="2" t="s">
        <v>80</v>
      </c>
      <c r="E18" s="2">
        <f>Worksheet!D78</f>
        <v>0</v>
      </c>
      <c r="F18" s="6"/>
      <c r="G18" s="6"/>
      <c r="H18" s="6"/>
      <c r="I18" s="6"/>
      <c r="P18" s="4" t="s">
        <v>287</v>
      </c>
    </row>
    <row r="19" spans="3:27" x14ac:dyDescent="0.2">
      <c r="P19" s="4" t="s">
        <v>286</v>
      </c>
    </row>
    <row r="20" spans="3:27" x14ac:dyDescent="0.2">
      <c r="P20" s="4" t="s">
        <v>285</v>
      </c>
    </row>
    <row r="21" spans="3:27" ht="14.25" x14ac:dyDescent="0.2">
      <c r="C21" t="s">
        <v>72</v>
      </c>
      <c r="D21" s="2">
        <v>37</v>
      </c>
      <c r="E21" s="6"/>
      <c r="F21" s="6"/>
      <c r="G21" s="2" t="s">
        <v>149</v>
      </c>
      <c r="H21" s="2" t="s">
        <v>150</v>
      </c>
      <c r="P21" s="4" t="s">
        <v>284</v>
      </c>
    </row>
    <row r="22" spans="3:27" x14ac:dyDescent="0.2">
      <c r="D22" s="2" t="s">
        <v>147</v>
      </c>
      <c r="E22" s="2">
        <f>Worksheet!D81</f>
        <v>0</v>
      </c>
      <c r="F22" s="6"/>
      <c r="G22" s="2" t="s">
        <v>98</v>
      </c>
      <c r="H22" s="2">
        <v>2.2999999999999998</v>
      </c>
    </row>
    <row r="23" spans="3:27" x14ac:dyDescent="0.2">
      <c r="D23" s="2" t="s">
        <v>96</v>
      </c>
      <c r="E23" s="2">
        <f>Worksheet!D131</f>
        <v>0</v>
      </c>
      <c r="F23" s="6"/>
      <c r="G23" s="2" t="s">
        <v>99</v>
      </c>
      <c r="H23" s="2">
        <v>1</v>
      </c>
    </row>
    <row r="24" spans="3:27" x14ac:dyDescent="0.2">
      <c r="D24" s="2" t="s">
        <v>151</v>
      </c>
      <c r="E24" s="2">
        <f>IF(E22="School Bus",H22,H23)</f>
        <v>1</v>
      </c>
      <c r="F24" s="6"/>
      <c r="G24" s="6"/>
      <c r="H24" s="6"/>
    </row>
    <row r="25" spans="3:27" x14ac:dyDescent="0.2">
      <c r="D25" s="2" t="s">
        <v>146</v>
      </c>
      <c r="E25" s="2">
        <f>ROUNDUP(SQRT((2*E23)/E24),1)</f>
        <v>0</v>
      </c>
      <c r="F25" s="6" t="s">
        <v>152</v>
      </c>
      <c r="G25" s="6"/>
      <c r="H25" s="6"/>
    </row>
    <row r="28" spans="3:27" x14ac:dyDescent="0.2">
      <c r="C28" t="s">
        <v>72</v>
      </c>
      <c r="D28" s="2">
        <v>38</v>
      </c>
      <c r="E28" s="2"/>
      <c r="F28" s="2"/>
      <c r="H28" t="s">
        <v>225</v>
      </c>
      <c r="I28" s="2" t="s">
        <v>98</v>
      </c>
      <c r="J28" s="2" t="s">
        <v>99</v>
      </c>
      <c r="L28" s="57" t="s">
        <v>238</v>
      </c>
      <c r="M28" s="1"/>
      <c r="Q28" t="s">
        <v>153</v>
      </c>
    </row>
    <row r="29" spans="3:27" x14ac:dyDescent="0.2">
      <c r="D29" s="2" t="s">
        <v>147</v>
      </c>
      <c r="E29" s="2">
        <f>Worksheet!D81</f>
        <v>0</v>
      </c>
      <c r="F29" s="2" t="s">
        <v>226</v>
      </c>
      <c r="H29" s="6" t="s">
        <v>189</v>
      </c>
      <c r="I29" s="2" t="e">
        <f>INDEX(R31:V46,MATCH(E31,Q31:Q46,0),MATCH(E30,R30:V30,0))</f>
        <v>#N/A</v>
      </c>
      <c r="J29" s="2" t="e">
        <f>INDEX(W31:AA46,MATCH(E31,Q31:Q46,0),MATCH(E30,W30:AA30,0))</f>
        <v>#N/A</v>
      </c>
      <c r="L29" s="6" t="s">
        <v>223</v>
      </c>
      <c r="M29" s="2">
        <f>E31</f>
        <v>0</v>
      </c>
      <c r="R29" t="s">
        <v>98</v>
      </c>
      <c r="W29" t="s">
        <v>99</v>
      </c>
    </row>
    <row r="30" spans="3:27" x14ac:dyDescent="0.2">
      <c r="D30" s="2" t="s">
        <v>97</v>
      </c>
      <c r="E30" s="2">
        <f>Worksheet!D77</f>
        <v>0</v>
      </c>
      <c r="F30" s="2" t="str">
        <f>IF(ISNUMBER(MATCH(E30,R30:V30,0)),"Y","N")</f>
        <v>Y</v>
      </c>
      <c r="I30" s="1"/>
      <c r="J30" s="1"/>
      <c r="L30" s="6" t="s">
        <v>97</v>
      </c>
      <c r="M30" s="4">
        <f>E30</f>
        <v>0</v>
      </c>
      <c r="Q30" s="2" t="s">
        <v>97</v>
      </c>
      <c r="R30" s="2">
        <v>0</v>
      </c>
      <c r="S30" s="2">
        <v>2</v>
      </c>
      <c r="T30" s="2">
        <v>4</v>
      </c>
      <c r="U30" s="2">
        <v>6</v>
      </c>
      <c r="V30" s="2">
        <v>8</v>
      </c>
      <c r="W30" s="2">
        <v>0</v>
      </c>
      <c r="X30" s="2">
        <v>2</v>
      </c>
      <c r="Y30" s="2">
        <v>4</v>
      </c>
      <c r="Z30" s="2">
        <v>6</v>
      </c>
      <c r="AA30" s="2">
        <v>8</v>
      </c>
    </row>
    <row r="31" spans="3:27" ht="13.5" thickBot="1" x14ac:dyDescent="0.25">
      <c r="D31" s="14" t="s">
        <v>247</v>
      </c>
      <c r="E31" s="14">
        <f>Worksheet!D131</f>
        <v>0</v>
      </c>
      <c r="F31" s="14" t="str">
        <f>IF(ISNUMBER(MATCH(E31,Q31:Q46,0)),"Y","N")</f>
        <v>N</v>
      </c>
      <c r="H31" s="6" t="s">
        <v>227</v>
      </c>
      <c r="I31" s="2" t="e">
        <f>LOOKUP(E31,Q31:Q46,Q31:Q46)</f>
        <v>#N/A</v>
      </c>
      <c r="J31" s="2" t="str" cm="1">
        <f t="array" ref="J31">IFERROR(INDEX(Q31:Q46,MATCH(I31,Q31:Q46,0)+1),"no such number")</f>
        <v>no such number</v>
      </c>
      <c r="L31" s="1"/>
      <c r="M31" s="1"/>
      <c r="N31" s="1"/>
      <c r="O31" s="1"/>
      <c r="P31" s="5" t="s">
        <v>96</v>
      </c>
      <c r="Q31" s="2">
        <v>25</v>
      </c>
      <c r="R31" s="2">
        <v>1</v>
      </c>
      <c r="S31" s="2">
        <v>1.01</v>
      </c>
      <c r="T31" s="2">
        <v>1.1000000000000001</v>
      </c>
      <c r="U31" s="2">
        <v>1.19</v>
      </c>
      <c r="V31" s="2">
        <v>1.28</v>
      </c>
      <c r="W31" s="2">
        <v>1</v>
      </c>
      <c r="X31" s="2">
        <v>1.0900000000000001</v>
      </c>
      <c r="Y31" s="2">
        <v>1.27</v>
      </c>
      <c r="Z31" s="2">
        <v>1.42</v>
      </c>
      <c r="AA31" s="2">
        <v>1.55</v>
      </c>
    </row>
    <row r="32" spans="3:27" ht="13.5" thickTop="1" x14ac:dyDescent="0.2">
      <c r="F32" s="13" t="s">
        <v>244</v>
      </c>
      <c r="H32" s="6" t="s">
        <v>188</v>
      </c>
      <c r="I32" s="2">
        <f>LOOKUP($E$30,R30:V30,R30:V30)</f>
        <v>0</v>
      </c>
      <c r="J32" s="2" cm="1">
        <f t="array" ref="J32">IFERROR(INDEX(R30:V30,MATCH(I32,R30:V30,0)+1),"no such number")</f>
        <v>2</v>
      </c>
      <c r="L32" s="57" t="s">
        <v>239</v>
      </c>
      <c r="M32" s="2" t="s">
        <v>98</v>
      </c>
      <c r="N32" s="2" t="s">
        <v>99</v>
      </c>
      <c r="O32" s="1"/>
      <c r="Q32" s="2">
        <v>50</v>
      </c>
      <c r="R32" s="2">
        <v>1</v>
      </c>
      <c r="S32" s="2">
        <v>1.01</v>
      </c>
      <c r="T32" s="2">
        <v>1.1200000000000001</v>
      </c>
      <c r="U32" s="2">
        <v>1.21</v>
      </c>
      <c r="V32" s="2">
        <v>1.3</v>
      </c>
      <c r="W32" s="2">
        <v>1</v>
      </c>
      <c r="X32" s="2">
        <v>1.1000000000000001</v>
      </c>
      <c r="Y32" s="2">
        <v>1.28</v>
      </c>
      <c r="Z32" s="2">
        <v>1.44</v>
      </c>
      <c r="AA32" s="2">
        <v>1.58</v>
      </c>
    </row>
    <row r="33" spans="3:32" x14ac:dyDescent="0.2">
      <c r="D33" s="2" t="s">
        <v>235</v>
      </c>
      <c r="E33" s="2" t="str">
        <f>IF(ISNA(I29),"N/A",IF($E$29=$D$9,I29,J29))</f>
        <v>N/A</v>
      </c>
      <c r="F33" s="2" t="str">
        <f>IF(AND(F30="Y",F31="Y"),"Y","N")</f>
        <v>N</v>
      </c>
      <c r="I33" s="1"/>
      <c r="J33" s="1"/>
      <c r="L33" s="58" t="e">
        <f>"Grade "&amp;I32&amp;" Dist "&amp;I31</f>
        <v>#N/A</v>
      </c>
      <c r="M33" s="2" t="e">
        <f>INDEX(R31:V46,MATCH(I31,Q31:Q46,0),MATCH(I32,R30:V30,0))</f>
        <v>#N/A</v>
      </c>
      <c r="N33" s="2" t="e">
        <f>INDEX(W31:AA46,MATCH(I31,Q31:Q46,0),MATCH(I32,W30:AA30,0))</f>
        <v>#N/A</v>
      </c>
      <c r="O33" s="1"/>
      <c r="Q33" s="2">
        <v>75</v>
      </c>
      <c r="R33" s="2">
        <v>1</v>
      </c>
      <c r="S33" s="2">
        <v>1.02</v>
      </c>
      <c r="T33" s="2">
        <v>1.1299999999999999</v>
      </c>
      <c r="U33" s="2">
        <v>1.23</v>
      </c>
      <c r="V33" s="2">
        <v>1.33</v>
      </c>
      <c r="W33" s="2">
        <v>1</v>
      </c>
      <c r="X33" s="2">
        <v>1.1100000000000001</v>
      </c>
      <c r="Y33" s="2">
        <v>1.3</v>
      </c>
      <c r="Z33" s="2">
        <v>1.47</v>
      </c>
      <c r="AA33" s="2">
        <v>1.61</v>
      </c>
    </row>
    <row r="34" spans="3:32" x14ac:dyDescent="0.2">
      <c r="D34" s="2" t="s">
        <v>236</v>
      </c>
      <c r="E34" s="2" t="str">
        <f>IF(ISNA(I39),"N/A",IF($E$29=$D$9,I39,J39))</f>
        <v>N/A</v>
      </c>
      <c r="F34" s="55" t="str">
        <f>IF(AND(F30="Y",NOT(F31="Y")),"Y","N")</f>
        <v>Y</v>
      </c>
      <c r="H34" t="s">
        <v>224</v>
      </c>
      <c r="I34" s="2" t="s">
        <v>98</v>
      </c>
      <c r="J34" s="2" t="s">
        <v>99</v>
      </c>
      <c r="L34" s="58" t="str">
        <f>"Grade "&amp;I32&amp;" Dist "&amp;J31</f>
        <v>Grade 0 Dist no such number</v>
      </c>
      <c r="M34" s="2" t="e">
        <f>INDEX(R31:V46,MATCH(J31,Q31:Q46,0),MATCH(I32,R30:V30,0))</f>
        <v>#N/A</v>
      </c>
      <c r="N34" s="2" t="e">
        <f>INDEX(W31:AA46,MATCH(J31,Q31:Q46,0),MATCH(I32,W30:AA30,0))</f>
        <v>#N/A</v>
      </c>
      <c r="O34" s="1"/>
      <c r="Q34" s="2">
        <v>100</v>
      </c>
      <c r="R34" s="2">
        <v>1</v>
      </c>
      <c r="S34" s="2">
        <v>1.02</v>
      </c>
      <c r="T34" s="2">
        <v>1.1399999999999999</v>
      </c>
      <c r="U34" s="2">
        <v>1.25</v>
      </c>
      <c r="V34" s="2">
        <v>1.35</v>
      </c>
      <c r="W34" s="2">
        <v>1</v>
      </c>
      <c r="X34" s="2">
        <v>1.1100000000000001</v>
      </c>
      <c r="Y34" s="2">
        <v>1.31</v>
      </c>
      <c r="Z34" s="2">
        <v>1.48</v>
      </c>
      <c r="AA34" s="2">
        <v>1.64</v>
      </c>
    </row>
    <row r="35" spans="3:32" x14ac:dyDescent="0.2">
      <c r="D35" s="11" t="s">
        <v>237</v>
      </c>
      <c r="E35" s="2" t="str">
        <f>IF(ISNA(I46),"N/A",IF($E$29=$D$9,I46,J46))</f>
        <v>N/A</v>
      </c>
      <c r="F35" s="55" t="str">
        <f>IF(AND(NOT(F30="Y"),F31="Y"),"Y","N")</f>
        <v>N</v>
      </c>
      <c r="H35" s="6" t="s">
        <v>229</v>
      </c>
      <c r="I35" s="2" t="e">
        <f>INDEX(R31:V46,MATCH(I31,Q31:Q46,0),MATCH(E30,R30:V30,0))</f>
        <v>#N/A</v>
      </c>
      <c r="J35" s="2" t="e">
        <f>INDEX(W31:AA46,MATCH(I31,Q31:Q46,0),MATCH(E30,W30:AA30,0))</f>
        <v>#N/A</v>
      </c>
      <c r="L35" s="58" t="e">
        <f>"Grade "&amp;J32&amp;" Dist "&amp;I31</f>
        <v>#N/A</v>
      </c>
      <c r="M35" s="2" t="e">
        <f>INDEX(R31:V46,MATCH(I31,Q31:Q46,0),MATCH(J32,R30:V30,0))</f>
        <v>#N/A</v>
      </c>
      <c r="N35" s="2" t="e">
        <f>INDEX(W31:AA46,MATCH(I31,Q31:Q46,0),MATCH(J32,W30:AA30,0))</f>
        <v>#N/A</v>
      </c>
      <c r="O35" s="1"/>
      <c r="Q35" s="2">
        <v>125</v>
      </c>
      <c r="R35" s="2">
        <v>1</v>
      </c>
      <c r="S35" s="2">
        <v>1.03</v>
      </c>
      <c r="T35" s="2">
        <v>1.1499999999999999</v>
      </c>
      <c r="U35" s="2">
        <v>1.26</v>
      </c>
      <c r="V35" s="2">
        <v>1.37</v>
      </c>
      <c r="W35" s="2">
        <v>1</v>
      </c>
      <c r="X35" s="2">
        <v>1.1200000000000001</v>
      </c>
      <c r="Y35" s="2">
        <v>1.32</v>
      </c>
      <c r="Z35" s="2">
        <v>1.5</v>
      </c>
      <c r="AA35" s="2">
        <v>1.66</v>
      </c>
    </row>
    <row r="36" spans="3:32" ht="13.5" thickBot="1" x14ac:dyDescent="0.25">
      <c r="D36" s="12" t="s">
        <v>238</v>
      </c>
      <c r="E36" s="55" t="str">
        <f>IF(E29=0,"N/A",IF($E$29=$D$9,M46,N46))</f>
        <v>N/A</v>
      </c>
      <c r="F36" s="55" t="str">
        <f>IF(AND(NOT(F30="Y"),NOT(F31="Y")),"Y","N")</f>
        <v>N</v>
      </c>
      <c r="H36" s="6" t="s">
        <v>230</v>
      </c>
      <c r="I36" s="2" t="e">
        <f>INDEX(R31:V46,MATCH(J31,Q31:Q46,0),MATCH(E30,R30:V30,0))</f>
        <v>#N/A</v>
      </c>
      <c r="J36" s="2" t="e">
        <f>INDEX(W31:AA46,MATCH(J31,Q31:Q46,0),MATCH(E30,W30:AA30,0))</f>
        <v>#N/A</v>
      </c>
      <c r="L36" s="61" t="str">
        <f>"Grade "&amp;J32&amp;" Dist "&amp;J31</f>
        <v>Grade 2 Dist no such number</v>
      </c>
      <c r="M36" s="14" t="e">
        <f>INDEX(R31:V46,MATCH(J31,Q31:Q46,0),MATCH(J32,R30:V30,0))</f>
        <v>#N/A</v>
      </c>
      <c r="N36" s="14" t="e">
        <f>INDEX(W31:AA46,MATCH(J31,Q31:Q46,0),MATCH(J32,W30:AA30,0))</f>
        <v>#N/A</v>
      </c>
      <c r="O36" s="1"/>
      <c r="Q36" s="2">
        <v>150</v>
      </c>
      <c r="R36" s="2">
        <v>1</v>
      </c>
      <c r="S36" s="2">
        <v>1.03</v>
      </c>
      <c r="T36" s="2">
        <v>1.1599999999999999</v>
      </c>
      <c r="U36" s="2">
        <v>1.28</v>
      </c>
      <c r="V36" s="2">
        <v>1.4</v>
      </c>
      <c r="W36" s="2">
        <v>1</v>
      </c>
      <c r="X36" s="2">
        <v>1.1200000000000001</v>
      </c>
      <c r="Y36" s="2">
        <v>1.33</v>
      </c>
      <c r="Z36" s="2">
        <v>1.52</v>
      </c>
      <c r="AA36" s="2">
        <v>1.68</v>
      </c>
    </row>
    <row r="37" spans="3:32" ht="13.5" thickTop="1" x14ac:dyDescent="0.2">
      <c r="D37" s="2" t="s">
        <v>148</v>
      </c>
      <c r="E37" s="55" t="str">
        <f>INDEX(E33:F36,MATCH("Y",F33:F36,0),1)</f>
        <v>N/A</v>
      </c>
      <c r="F37" s="55"/>
      <c r="H37" s="6" t="s">
        <v>228</v>
      </c>
      <c r="I37" s="2" t="e">
        <f>I36-I35</f>
        <v>#N/A</v>
      </c>
      <c r="J37" s="2" t="e">
        <f>J36-J35</f>
        <v>#N/A</v>
      </c>
      <c r="L37" s="60" t="str">
        <f>"Delta Grade "&amp;I32</f>
        <v>Delta Grade 0</v>
      </c>
      <c r="M37" s="13" t="e">
        <f>M34-M33</f>
        <v>#N/A</v>
      </c>
      <c r="N37" s="13" t="e">
        <f>N34-N33</f>
        <v>#N/A</v>
      </c>
      <c r="O37" s="1"/>
      <c r="Q37" s="2">
        <v>175</v>
      </c>
      <c r="R37" s="2">
        <v>1</v>
      </c>
      <c r="S37" s="2">
        <v>1.03</v>
      </c>
      <c r="T37" s="2">
        <v>1.17</v>
      </c>
      <c r="U37" s="2">
        <v>1.29</v>
      </c>
      <c r="V37" s="2">
        <v>1.42</v>
      </c>
      <c r="W37" s="2">
        <v>1</v>
      </c>
      <c r="X37" s="2">
        <v>1.1200000000000001</v>
      </c>
      <c r="Y37" s="2">
        <v>1.34</v>
      </c>
      <c r="Z37" s="2">
        <v>1.53</v>
      </c>
      <c r="AA37" s="2">
        <v>1.7</v>
      </c>
    </row>
    <row r="38" spans="3:32" x14ac:dyDescent="0.2">
      <c r="H38" s="6" t="s">
        <v>233</v>
      </c>
      <c r="I38" s="2" t="e">
        <f>I37/(J31-I31)</f>
        <v>#N/A</v>
      </c>
      <c r="J38" s="2" t="e">
        <f>J37/(J31-I31)</f>
        <v>#N/A</v>
      </c>
      <c r="L38" s="58" t="str">
        <f>"Delta Grade "&amp;J32</f>
        <v>Delta Grade 2</v>
      </c>
      <c r="M38" s="2" t="e">
        <f>M36-M35</f>
        <v>#N/A</v>
      </c>
      <c r="N38" s="2" t="e">
        <f>N36-N35</f>
        <v>#N/A</v>
      </c>
      <c r="O38" s="1"/>
      <c r="Q38" s="2">
        <v>200</v>
      </c>
      <c r="R38" s="2">
        <v>1</v>
      </c>
      <c r="S38" s="2">
        <v>1.04</v>
      </c>
      <c r="T38" s="2">
        <v>1.17</v>
      </c>
      <c r="U38" s="2">
        <v>1.3</v>
      </c>
      <c r="V38" s="2">
        <v>1.43</v>
      </c>
      <c r="W38" s="2">
        <v>1</v>
      </c>
      <c r="X38" s="2">
        <v>1.1299999999999999</v>
      </c>
      <c r="Y38" s="2">
        <v>1.35</v>
      </c>
      <c r="Z38" s="2">
        <v>1.54</v>
      </c>
      <c r="AA38" s="2">
        <v>1.72</v>
      </c>
    </row>
    <row r="39" spans="3:32" x14ac:dyDescent="0.2">
      <c r="H39" s="6" t="s">
        <v>189</v>
      </c>
      <c r="I39" s="2" t="e">
        <f>I35+((J31-I31)*I38)</f>
        <v>#N/A</v>
      </c>
      <c r="J39" s="2" t="e">
        <f>J35+((J31-I31)*J38)</f>
        <v>#N/A</v>
      </c>
      <c r="L39" s="58" t="s">
        <v>240</v>
      </c>
      <c r="M39" s="2" t="e">
        <f>J31-I31</f>
        <v>#VALUE!</v>
      </c>
      <c r="N39" s="2" t="e">
        <f>M39</f>
        <v>#VALUE!</v>
      </c>
      <c r="O39" s="1"/>
      <c r="Q39" s="2">
        <v>225</v>
      </c>
      <c r="R39" s="2">
        <v>1</v>
      </c>
      <c r="S39" s="2">
        <v>1.04</v>
      </c>
      <c r="T39" s="2">
        <v>1.18</v>
      </c>
      <c r="U39" s="2">
        <v>1.32</v>
      </c>
      <c r="V39" s="2">
        <v>1.45</v>
      </c>
      <c r="W39" s="2">
        <v>1</v>
      </c>
      <c r="X39" s="2">
        <v>1.1299999999999999</v>
      </c>
      <c r="Y39" s="2">
        <v>1.35</v>
      </c>
      <c r="Z39" s="2">
        <v>1.56</v>
      </c>
      <c r="AA39" s="2">
        <v>1.74</v>
      </c>
    </row>
    <row r="40" spans="3:32" x14ac:dyDescent="0.2">
      <c r="I40" s="1"/>
      <c r="J40" s="1"/>
      <c r="L40" s="58" t="str">
        <f>"Slope G"&amp;I32&amp;" (per ft)"</f>
        <v>Slope G0 (per ft)</v>
      </c>
      <c r="M40" s="59" t="e">
        <f>M37/M39</f>
        <v>#N/A</v>
      </c>
      <c r="N40" s="59" t="e">
        <f>N37/N39</f>
        <v>#N/A</v>
      </c>
      <c r="O40" s="1"/>
      <c r="Q40" s="2">
        <v>250</v>
      </c>
      <c r="R40" s="2">
        <v>1</v>
      </c>
      <c r="S40" s="2">
        <v>1.04</v>
      </c>
      <c r="T40" s="2">
        <v>1.19</v>
      </c>
      <c r="U40" s="2">
        <v>1.33</v>
      </c>
      <c r="V40" s="2">
        <v>1.47</v>
      </c>
      <c r="W40" s="2">
        <v>1</v>
      </c>
      <c r="X40" s="2">
        <v>1.1299999999999999</v>
      </c>
      <c r="Y40" s="2">
        <v>1.36</v>
      </c>
      <c r="Z40" s="2">
        <v>1.57</v>
      </c>
      <c r="AA40" s="2">
        <v>1.76</v>
      </c>
    </row>
    <row r="41" spans="3:32" x14ac:dyDescent="0.2">
      <c r="H41" t="s">
        <v>222</v>
      </c>
      <c r="I41" s="2" t="s">
        <v>98</v>
      </c>
      <c r="J41" s="2" t="s">
        <v>99</v>
      </c>
      <c r="L41" s="58" t="str">
        <f>"Slope G"&amp;J32&amp;" (per ft)"</f>
        <v>Slope G2 (per ft)</v>
      </c>
      <c r="M41" s="59" t="e">
        <f>M38/M39</f>
        <v>#N/A</v>
      </c>
      <c r="N41" s="59" t="e">
        <f>N38/N39</f>
        <v>#N/A</v>
      </c>
      <c r="O41" s="1"/>
      <c r="Q41" s="2">
        <v>275</v>
      </c>
      <c r="R41" s="2">
        <v>1</v>
      </c>
      <c r="S41" s="2">
        <v>1.05</v>
      </c>
      <c r="T41" s="2">
        <v>1.2</v>
      </c>
      <c r="U41" s="2">
        <v>1.34</v>
      </c>
      <c r="V41" s="2">
        <v>1.49</v>
      </c>
      <c r="W41" s="2">
        <v>1</v>
      </c>
      <c r="X41" s="2">
        <v>1.1399999999999999</v>
      </c>
      <c r="Y41" s="2">
        <v>1.37</v>
      </c>
      <c r="Z41" s="2">
        <v>1.58</v>
      </c>
      <c r="AA41" s="2">
        <v>1.77</v>
      </c>
    </row>
    <row r="42" spans="3:32" x14ac:dyDescent="0.2">
      <c r="H42" s="6" t="s">
        <v>231</v>
      </c>
      <c r="I42" s="2" t="e">
        <f>INDEX(R31:V46,MATCH(E31,Q31:Q46,0),MATCH(I32,R30:V30,0))</f>
        <v>#N/A</v>
      </c>
      <c r="J42" s="2" t="e">
        <f>INDEX(W31:AA46,MATCH(E31,Q31:Q46,0),MATCH(I32,W30:AA30,0))</f>
        <v>#N/A</v>
      </c>
      <c r="L42" s="58" t="str">
        <f>"G"&amp;I32&amp;" Factor at DVCD"</f>
        <v>G0 Factor at DVCD</v>
      </c>
      <c r="M42" s="2" t="e">
        <f>M33+((M29-I31)*M40)</f>
        <v>#N/A</v>
      </c>
      <c r="N42" s="2" t="e">
        <f>N33+((M29-I31)*N40)</f>
        <v>#N/A</v>
      </c>
      <c r="O42" s="1"/>
      <c r="Q42" s="2">
        <v>300</v>
      </c>
      <c r="R42" s="2">
        <v>1</v>
      </c>
      <c r="S42" s="2">
        <v>1.05</v>
      </c>
      <c r="T42" s="2">
        <v>1.2</v>
      </c>
      <c r="U42" s="2">
        <v>1.35</v>
      </c>
      <c r="V42" s="2">
        <v>1.5</v>
      </c>
      <c r="W42" s="2">
        <v>1</v>
      </c>
      <c r="X42" s="2">
        <v>1.1399999999999999</v>
      </c>
      <c r="Y42" s="2">
        <v>1.37</v>
      </c>
      <c r="Z42" s="2">
        <v>1.59</v>
      </c>
      <c r="AA42" s="2">
        <v>1.79</v>
      </c>
    </row>
    <row r="43" spans="3:32" ht="13.5" thickBot="1" x14ac:dyDescent="0.25">
      <c r="H43" s="6" t="s">
        <v>232</v>
      </c>
      <c r="I43" s="2" t="e">
        <f>INDEX(R31:V46,MATCH(E31,Q31:Q46,0),MATCH(J32,R30:V30,0))</f>
        <v>#N/A</v>
      </c>
      <c r="J43" s="2" t="e">
        <f>INDEX(W31:AA46,MATCH(E31,Q31:Q46,0),MATCH(J32,W30:AA30,0))</f>
        <v>#N/A</v>
      </c>
      <c r="L43" s="61" t="str">
        <f>"G"&amp;J32&amp;" Factor at DVCD"</f>
        <v>G2 Factor at DVCD</v>
      </c>
      <c r="M43" s="14" t="e">
        <f>M35+((M29-I31)*M41)</f>
        <v>#N/A</v>
      </c>
      <c r="N43" s="14" t="e">
        <f>N35+((M29-I31)*N41)</f>
        <v>#N/A</v>
      </c>
      <c r="O43" s="1"/>
      <c r="Q43" s="2">
        <v>325</v>
      </c>
      <c r="R43" s="2">
        <v>1</v>
      </c>
      <c r="S43" s="2">
        <v>1.05</v>
      </c>
      <c r="T43" s="2">
        <v>1.21</v>
      </c>
      <c r="U43" s="2">
        <v>1.36</v>
      </c>
      <c r="V43" s="2">
        <v>1.52</v>
      </c>
      <c r="W43" s="2">
        <v>1</v>
      </c>
      <c r="X43" s="2">
        <v>1.1399999999999999</v>
      </c>
      <c r="Y43" s="2">
        <v>1.38</v>
      </c>
      <c r="Z43" s="2">
        <v>1.6</v>
      </c>
      <c r="AA43" s="2">
        <v>1.81</v>
      </c>
    </row>
    <row r="44" spans="3:32" ht="13.5" thickTop="1" x14ac:dyDescent="0.2">
      <c r="H44" s="6" t="s">
        <v>228</v>
      </c>
      <c r="I44" s="2" t="e">
        <f>I43-I42</f>
        <v>#N/A</v>
      </c>
      <c r="J44" s="2" t="e">
        <f>J43-J42</f>
        <v>#N/A</v>
      </c>
      <c r="L44" s="60" t="s">
        <v>241</v>
      </c>
      <c r="M44" s="13" t="e">
        <f>M43-M42</f>
        <v>#N/A</v>
      </c>
      <c r="N44" s="13" t="e">
        <f>N43-N42</f>
        <v>#N/A</v>
      </c>
      <c r="O44" s="1"/>
      <c r="Q44" s="2">
        <v>350</v>
      </c>
      <c r="R44" s="2">
        <v>1</v>
      </c>
      <c r="S44" s="2">
        <v>1.05</v>
      </c>
      <c r="T44" s="2">
        <v>1.22</v>
      </c>
      <c r="U44" s="2">
        <v>1.37</v>
      </c>
      <c r="V44" s="2">
        <v>1.54</v>
      </c>
      <c r="W44" s="2">
        <v>1</v>
      </c>
      <c r="X44" s="2">
        <v>1.1499999999999999</v>
      </c>
      <c r="Y44" s="2">
        <v>1.39</v>
      </c>
      <c r="Z44" s="2">
        <v>1.61</v>
      </c>
      <c r="AA44" s="2">
        <v>1.82</v>
      </c>
    </row>
    <row r="45" spans="3:32" x14ac:dyDescent="0.2">
      <c r="H45" s="6" t="s">
        <v>234</v>
      </c>
      <c r="I45" s="2" t="e">
        <f>I44/(J32-I32)</f>
        <v>#N/A</v>
      </c>
      <c r="J45" s="2" t="e">
        <f>J44/(J32-I32)</f>
        <v>#N/A</v>
      </c>
      <c r="L45" s="58" t="s">
        <v>242</v>
      </c>
      <c r="M45" s="2" t="e">
        <f>M44/(J32-I32)</f>
        <v>#N/A</v>
      </c>
      <c r="N45" s="2" t="e">
        <f>N44/(J32-I32)</f>
        <v>#N/A</v>
      </c>
      <c r="O45" s="1"/>
      <c r="Q45" s="2">
        <v>375</v>
      </c>
      <c r="R45" s="2">
        <v>1</v>
      </c>
      <c r="S45" s="2">
        <v>1.06</v>
      </c>
      <c r="T45" s="2">
        <v>1.22</v>
      </c>
      <c r="U45" s="2">
        <v>1.38</v>
      </c>
      <c r="V45" s="2">
        <v>1.55</v>
      </c>
      <c r="W45" s="2">
        <v>1</v>
      </c>
      <c r="X45" s="2">
        <v>1.1499999999999999</v>
      </c>
      <c r="Y45" s="2">
        <v>1.39</v>
      </c>
      <c r="Z45" s="2">
        <v>1.62</v>
      </c>
      <c r="AA45" s="2">
        <v>1.84</v>
      </c>
    </row>
    <row r="46" spans="3:32" x14ac:dyDescent="0.2">
      <c r="H46" s="6" t="s">
        <v>189</v>
      </c>
      <c r="I46" s="2" t="e">
        <f>I42+((J32-I32)*I45)</f>
        <v>#N/A</v>
      </c>
      <c r="J46" s="2" t="e">
        <f>J42+((J32-I32)*J45)</f>
        <v>#N/A</v>
      </c>
      <c r="L46" s="58" t="s">
        <v>243</v>
      </c>
      <c r="M46" s="55" t="e">
        <f>M42+((M30-I32)*M45)</f>
        <v>#N/A</v>
      </c>
      <c r="N46" s="55" t="e">
        <f>N42+((M30-I32)*N45)</f>
        <v>#N/A</v>
      </c>
      <c r="O46" s="1"/>
      <c r="Q46" s="2">
        <v>400</v>
      </c>
      <c r="R46" s="2">
        <v>1</v>
      </c>
      <c r="S46" s="2">
        <v>1.06</v>
      </c>
      <c r="T46" s="2">
        <v>1.23</v>
      </c>
      <c r="U46" s="2">
        <v>1.4</v>
      </c>
      <c r="V46" s="2">
        <v>1.57</v>
      </c>
      <c r="W46" s="2">
        <v>1</v>
      </c>
      <c r="X46" s="2">
        <v>1.1499999999999999</v>
      </c>
      <c r="Y46" s="2">
        <v>1.4</v>
      </c>
      <c r="Z46" s="2">
        <v>1.63</v>
      </c>
      <c r="AA46" s="2">
        <v>1.85</v>
      </c>
    </row>
    <row r="47" spans="3:32" x14ac:dyDescent="0.2">
      <c r="H47" s="1"/>
      <c r="I47" s="1"/>
      <c r="J47" s="1"/>
      <c r="K47" s="1"/>
      <c r="L47" s="1"/>
      <c r="M47" s="1"/>
      <c r="N47" s="1"/>
      <c r="O47" s="1"/>
      <c r="P47" s="1"/>
      <c r="AD47" s="1"/>
      <c r="AE47" s="1"/>
      <c r="AF47" s="1"/>
    </row>
    <row r="48" spans="3:32" x14ac:dyDescent="0.2">
      <c r="C48" t="s">
        <v>72</v>
      </c>
      <c r="D48" s="2">
        <v>50</v>
      </c>
      <c r="E48" s="4">
        <v>52</v>
      </c>
    </row>
    <row r="49" spans="3:29" x14ac:dyDescent="0.2">
      <c r="D49" s="2" t="s">
        <v>100</v>
      </c>
      <c r="E49" s="4" t="s">
        <v>108</v>
      </c>
    </row>
    <row r="50" spans="3:29" x14ac:dyDescent="0.2">
      <c r="D50" s="2" t="s">
        <v>101</v>
      </c>
      <c r="E50" s="4">
        <v>1</v>
      </c>
    </row>
    <row r="51" spans="3:29" x14ac:dyDescent="0.2">
      <c r="D51" s="2" t="s">
        <v>103</v>
      </c>
      <c r="E51" s="4">
        <v>1.6</v>
      </c>
    </row>
    <row r="52" spans="3:29" x14ac:dyDescent="0.2">
      <c r="D52" s="2" t="s">
        <v>102</v>
      </c>
      <c r="E52" s="4">
        <v>1.25</v>
      </c>
      <c r="R52" s="56"/>
      <c r="AC52" s="56"/>
    </row>
    <row r="53" spans="3:29" x14ac:dyDescent="0.2">
      <c r="U53" s="54"/>
    </row>
    <row r="54" spans="3:29" x14ac:dyDescent="0.2">
      <c r="C54" t="s">
        <v>72</v>
      </c>
      <c r="D54" s="2" t="s">
        <v>20</v>
      </c>
      <c r="U54" s="54"/>
    </row>
    <row r="55" spans="3:29" x14ac:dyDescent="0.2">
      <c r="D55" s="2" t="s">
        <v>70</v>
      </c>
      <c r="U55" s="54"/>
    </row>
    <row r="56" spans="3:29" x14ac:dyDescent="0.2">
      <c r="D56" s="2" t="s">
        <v>71</v>
      </c>
    </row>
    <row r="58" spans="3:29" ht="14.25" x14ac:dyDescent="0.2">
      <c r="C58" t="s">
        <v>72</v>
      </c>
      <c r="D58" s="2">
        <v>61</v>
      </c>
      <c r="E58" s="6"/>
      <c r="F58" s="6"/>
      <c r="G58" s="2" t="s">
        <v>149</v>
      </c>
      <c r="H58" s="2" t="s">
        <v>150</v>
      </c>
    </row>
    <row r="59" spans="3:29" x14ac:dyDescent="0.2">
      <c r="D59" s="2" t="s">
        <v>147</v>
      </c>
      <c r="E59" s="2">
        <f>Worksheet!D81</f>
        <v>0</v>
      </c>
      <c r="F59" s="6"/>
      <c r="G59" s="2" t="s">
        <v>98</v>
      </c>
      <c r="H59" s="2">
        <v>2.2999999999999998</v>
      </c>
    </row>
    <row r="60" spans="3:29" x14ac:dyDescent="0.2">
      <c r="D60" s="2" t="s">
        <v>96</v>
      </c>
      <c r="E60" s="2">
        <f>Worksheet!D187</f>
        <v>0</v>
      </c>
      <c r="F60" s="6"/>
      <c r="G60" s="2" t="s">
        <v>99</v>
      </c>
      <c r="H60" s="2">
        <v>1</v>
      </c>
    </row>
    <row r="61" spans="3:29" x14ac:dyDescent="0.2">
      <c r="D61" s="2" t="s">
        <v>151</v>
      </c>
      <c r="E61" s="2">
        <f>IF(E59="School Bus",H59,H60)</f>
        <v>1</v>
      </c>
      <c r="F61" s="6"/>
      <c r="G61" s="6"/>
      <c r="H61" s="6"/>
    </row>
    <row r="62" spans="3:29" x14ac:dyDescent="0.2">
      <c r="D62" s="2" t="s">
        <v>146</v>
      </c>
      <c r="E62" s="2">
        <f>ROUNDUP(SQRT((2*E60)/E61),1)</f>
        <v>0</v>
      </c>
      <c r="F62" s="6" t="s">
        <v>152</v>
      </c>
      <c r="G62" s="6"/>
      <c r="H62" s="6"/>
    </row>
    <row r="64" spans="3:29" x14ac:dyDescent="0.2">
      <c r="C64" t="s">
        <v>72</v>
      </c>
      <c r="D64" s="2">
        <v>62</v>
      </c>
      <c r="E64" s="2"/>
      <c r="F64" s="2"/>
      <c r="H64" t="s">
        <v>225</v>
      </c>
      <c r="I64" s="2" t="s">
        <v>98</v>
      </c>
      <c r="J64" s="2" t="s">
        <v>99</v>
      </c>
      <c r="L64" s="57" t="s">
        <v>238</v>
      </c>
      <c r="M64" s="1"/>
      <c r="Q64" t="s">
        <v>153</v>
      </c>
    </row>
    <row r="65" spans="4:27" x14ac:dyDescent="0.2">
      <c r="D65" s="2" t="s">
        <v>147</v>
      </c>
      <c r="E65" s="2">
        <f>Worksheet!D81</f>
        <v>0</v>
      </c>
      <c r="F65" s="2" t="s">
        <v>226</v>
      </c>
      <c r="H65" s="6" t="s">
        <v>189</v>
      </c>
      <c r="I65" s="2" t="e">
        <f>INDEX(R67:V82,MATCH(E67,Q67:Q82,0),MATCH(E66,R66:V66,0))</f>
        <v>#N/A</v>
      </c>
      <c r="J65" s="2" t="e">
        <f>INDEX(W67:AA82,MATCH(E67,Q67:Q82,0),MATCH(E66,W66:AA66,0))</f>
        <v>#N/A</v>
      </c>
      <c r="L65" s="6" t="s">
        <v>246</v>
      </c>
      <c r="M65" s="2">
        <f>E67</f>
        <v>0</v>
      </c>
      <c r="R65" t="s">
        <v>98</v>
      </c>
      <c r="W65" t="s">
        <v>99</v>
      </c>
    </row>
    <row r="66" spans="4:27" x14ac:dyDescent="0.2">
      <c r="D66" s="2" t="s">
        <v>97</v>
      </c>
      <c r="E66" s="2">
        <f>Worksheet!D77</f>
        <v>0</v>
      </c>
      <c r="F66" s="2" t="str">
        <f>IF(ISNUMBER(MATCH(E66,T66:X66,0)),"Y","N")</f>
        <v>Y</v>
      </c>
      <c r="I66" s="1"/>
      <c r="J66" s="1"/>
      <c r="L66" s="6" t="s">
        <v>97</v>
      </c>
      <c r="M66" s="4">
        <f>E66</f>
        <v>0</v>
      </c>
      <c r="Q66" s="2" t="s">
        <v>97</v>
      </c>
      <c r="R66" s="2">
        <v>0</v>
      </c>
      <c r="S66" s="2">
        <v>2</v>
      </c>
      <c r="T66" s="2">
        <v>4</v>
      </c>
      <c r="U66" s="2">
        <v>6</v>
      </c>
      <c r="V66" s="2">
        <v>8</v>
      </c>
      <c r="W66" s="2">
        <v>0</v>
      </c>
      <c r="X66" s="2">
        <v>2</v>
      </c>
      <c r="Y66" s="2">
        <v>4</v>
      </c>
      <c r="Z66" s="2">
        <v>6</v>
      </c>
      <c r="AA66" s="2">
        <v>8</v>
      </c>
    </row>
    <row r="67" spans="4:27" ht="13.5" thickBot="1" x14ac:dyDescent="0.25">
      <c r="D67" s="14" t="s">
        <v>245</v>
      </c>
      <c r="E67" s="14">
        <f>Worksheet!D187</f>
        <v>0</v>
      </c>
      <c r="F67" s="14" t="str">
        <f>IF(ISNUMBER(MATCH(E67,S67:S82,0)),"Y","N")</f>
        <v>N</v>
      </c>
      <c r="H67" s="6" t="s">
        <v>227</v>
      </c>
      <c r="I67" s="2" t="e">
        <f>LOOKUP(E67,Q67:Q82,Q67:Q82)</f>
        <v>#N/A</v>
      </c>
      <c r="J67" s="2" t="str" cm="1">
        <f t="array" ref="J67">IFERROR(INDEX(Q67:Q82,MATCH(I67,Q67:Q82,0)+1),"no such number")</f>
        <v>no such number</v>
      </c>
      <c r="L67" s="1"/>
      <c r="M67" s="1"/>
      <c r="N67" s="1"/>
      <c r="O67" s="1"/>
      <c r="P67" s="5" t="s">
        <v>96</v>
      </c>
      <c r="Q67" s="2">
        <v>25</v>
      </c>
      <c r="R67" s="2">
        <v>1</v>
      </c>
      <c r="S67" s="2">
        <v>1.01</v>
      </c>
      <c r="T67" s="2">
        <v>1.1000000000000001</v>
      </c>
      <c r="U67" s="2">
        <v>1.19</v>
      </c>
      <c r="V67" s="2">
        <v>1.28</v>
      </c>
      <c r="W67" s="2">
        <v>1</v>
      </c>
      <c r="X67" s="2">
        <v>1.0900000000000001</v>
      </c>
      <c r="Y67" s="2">
        <v>1.27</v>
      </c>
      <c r="Z67" s="2">
        <v>1.42</v>
      </c>
      <c r="AA67" s="2">
        <v>1.55</v>
      </c>
    </row>
    <row r="68" spans="4:27" ht="13.5" thickTop="1" x14ac:dyDescent="0.2">
      <c r="F68" s="13" t="s">
        <v>244</v>
      </c>
      <c r="H68" s="6" t="s">
        <v>188</v>
      </c>
      <c r="I68" s="2">
        <f>LOOKUP($E$30,R66:V66,R66:V66)</f>
        <v>0</v>
      </c>
      <c r="J68" s="2" cm="1">
        <f t="array" ref="J68">IFERROR(INDEX(R66:V66,MATCH(I68,R66:V66,0)+1),"no such number")</f>
        <v>2</v>
      </c>
      <c r="L68" s="57" t="s">
        <v>239</v>
      </c>
      <c r="M68" s="2" t="s">
        <v>98</v>
      </c>
      <c r="N68" s="2" t="s">
        <v>99</v>
      </c>
      <c r="O68" s="1"/>
      <c r="Q68" s="2">
        <v>50</v>
      </c>
      <c r="R68" s="2">
        <v>1</v>
      </c>
      <c r="S68" s="2">
        <v>1.01</v>
      </c>
      <c r="T68" s="2">
        <v>1.1200000000000001</v>
      </c>
      <c r="U68" s="2">
        <v>1.21</v>
      </c>
      <c r="V68" s="2">
        <v>1.3</v>
      </c>
      <c r="W68" s="2">
        <v>1</v>
      </c>
      <c r="X68" s="2">
        <v>1.1000000000000001</v>
      </c>
      <c r="Y68" s="2">
        <v>1.28</v>
      </c>
      <c r="Z68" s="2">
        <v>1.44</v>
      </c>
      <c r="AA68" s="2">
        <v>1.58</v>
      </c>
    </row>
    <row r="69" spans="4:27" x14ac:dyDescent="0.2">
      <c r="D69" s="2" t="s">
        <v>235</v>
      </c>
      <c r="E69" s="2" t="str">
        <f>IF(ISNA(I65),"N/A",IF($E$65=$D$9,I65,J65))</f>
        <v>N/A</v>
      </c>
      <c r="F69" s="2" t="str">
        <f>IF(AND(F66="Y",F67="Y"),"Y","N")</f>
        <v>N</v>
      </c>
      <c r="I69" s="1"/>
      <c r="J69" s="1"/>
      <c r="L69" s="58" t="e">
        <f>"Grade "&amp;I68&amp;" Dist "&amp;I67</f>
        <v>#N/A</v>
      </c>
      <c r="M69" s="2" t="e">
        <f>INDEX(R67:V82,MATCH(I67,Q67:Q82,0),MATCH(I68,R66:V66,0))</f>
        <v>#N/A</v>
      </c>
      <c r="N69" s="2" t="e">
        <f>INDEX(W67:AA82,MATCH(I67,Q67:Q82,0),MATCH(I68,W66:AA66,0))</f>
        <v>#N/A</v>
      </c>
      <c r="O69" s="1"/>
      <c r="Q69" s="2">
        <v>75</v>
      </c>
      <c r="R69" s="2">
        <v>1</v>
      </c>
      <c r="S69" s="2">
        <v>1.02</v>
      </c>
      <c r="T69" s="2">
        <v>1.1299999999999999</v>
      </c>
      <c r="U69" s="2">
        <v>1.23</v>
      </c>
      <c r="V69" s="2">
        <v>1.33</v>
      </c>
      <c r="W69" s="2">
        <v>1</v>
      </c>
      <c r="X69" s="2">
        <v>1.1100000000000001</v>
      </c>
      <c r="Y69" s="2">
        <v>1.3</v>
      </c>
      <c r="Z69" s="2">
        <v>1.47</v>
      </c>
      <c r="AA69" s="2">
        <v>1.61</v>
      </c>
    </row>
    <row r="70" spans="4:27" x14ac:dyDescent="0.2">
      <c r="D70" s="2" t="s">
        <v>236</v>
      </c>
      <c r="E70" s="2" t="str">
        <f>IF(ISNA(I75),"N/A",IF($E$65=$D$9,I75,J75))</f>
        <v>N/A</v>
      </c>
      <c r="F70" s="55" t="str">
        <f>IF(AND(F66="Y",NOT(F67="Y")),"Y","N")</f>
        <v>Y</v>
      </c>
      <c r="H70" t="s">
        <v>224</v>
      </c>
      <c r="I70" s="2" t="s">
        <v>98</v>
      </c>
      <c r="J70" s="2" t="s">
        <v>99</v>
      </c>
      <c r="L70" s="58" t="str">
        <f>"Grade "&amp;I68&amp;" Dist "&amp;J67</f>
        <v>Grade 0 Dist no such number</v>
      </c>
      <c r="M70" s="2" t="e">
        <f>INDEX(R67:V82,MATCH(J67,Q67:Q82,0),MATCH(I68,R66:V66,0))</f>
        <v>#N/A</v>
      </c>
      <c r="N70" s="2" t="e">
        <f>INDEX(W67:AA82,MATCH(J67,Q67:Q82,0),MATCH(I68,W66:AA66,0))</f>
        <v>#N/A</v>
      </c>
      <c r="O70" s="1"/>
      <c r="Q70" s="2">
        <v>100</v>
      </c>
      <c r="R70" s="2">
        <v>1</v>
      </c>
      <c r="S70" s="2">
        <v>1.02</v>
      </c>
      <c r="T70" s="2">
        <v>1.1399999999999999</v>
      </c>
      <c r="U70" s="2">
        <v>1.25</v>
      </c>
      <c r="V70" s="2">
        <v>1.35</v>
      </c>
      <c r="W70" s="2">
        <v>1</v>
      </c>
      <c r="X70" s="2">
        <v>1.1100000000000001</v>
      </c>
      <c r="Y70" s="2">
        <v>1.31</v>
      </c>
      <c r="Z70" s="2">
        <v>1.48</v>
      </c>
      <c r="AA70" s="2">
        <v>1.64</v>
      </c>
    </row>
    <row r="71" spans="4:27" x14ac:dyDescent="0.2">
      <c r="D71" s="11" t="s">
        <v>237</v>
      </c>
      <c r="E71" s="2" t="str">
        <f>IF(ISNA(I82),"N/A",IF($E$65=$D$9,I82,J82))</f>
        <v>N/A</v>
      </c>
      <c r="F71" s="55" t="str">
        <f>IF(AND(NOT(F66="Y"),F67="Y"),"Y","N")</f>
        <v>N</v>
      </c>
      <c r="H71" s="6" t="s">
        <v>229</v>
      </c>
      <c r="I71" s="2" t="e">
        <f>INDEX(R67:V82,MATCH(I67,Q67:Q82,0),MATCH(E66,R66:V66,0))</f>
        <v>#N/A</v>
      </c>
      <c r="J71" s="2" t="e">
        <f>INDEX(W67:AA82,MATCH(I67,Q67:Q82,0),MATCH(E66,W66:AA66,0))</f>
        <v>#N/A</v>
      </c>
      <c r="L71" s="58" t="e">
        <f>"Grade "&amp;J68&amp;" Dist "&amp;I67</f>
        <v>#N/A</v>
      </c>
      <c r="M71" s="2" t="e">
        <f>INDEX(R67:V82,MATCH(I67,Q67:Q82,0),MATCH(J68,R66:V66,0))</f>
        <v>#N/A</v>
      </c>
      <c r="N71" s="2" t="e">
        <f>INDEX(W67:AA82,MATCH(I67,Q67:Q82,0),MATCH(J68,W66:AA66,0))</f>
        <v>#N/A</v>
      </c>
      <c r="O71" s="1"/>
      <c r="Q71" s="2">
        <v>125</v>
      </c>
      <c r="R71" s="2">
        <v>1</v>
      </c>
      <c r="S71" s="2">
        <v>1.03</v>
      </c>
      <c r="T71" s="2">
        <v>1.1499999999999999</v>
      </c>
      <c r="U71" s="2">
        <v>1.26</v>
      </c>
      <c r="V71" s="2">
        <v>1.37</v>
      </c>
      <c r="W71" s="2">
        <v>1</v>
      </c>
      <c r="X71" s="2">
        <v>1.1200000000000001</v>
      </c>
      <c r="Y71" s="2">
        <v>1.32</v>
      </c>
      <c r="Z71" s="2">
        <v>1.5</v>
      </c>
      <c r="AA71" s="2">
        <v>1.66</v>
      </c>
    </row>
    <row r="72" spans="4:27" ht="13.5" thickBot="1" x14ac:dyDescent="0.25">
      <c r="D72" s="12" t="s">
        <v>238</v>
      </c>
      <c r="E72" s="55" t="str">
        <f>IF(E65=0,"N/A",IF($E$65=$D$9,M82,N82))</f>
        <v>N/A</v>
      </c>
      <c r="F72" s="55" t="str">
        <f>IF(AND(NOT(F66="Y"),NOT(F67="Y")),"Y","N")</f>
        <v>N</v>
      </c>
      <c r="H72" s="6" t="s">
        <v>230</v>
      </c>
      <c r="I72" s="2" t="e">
        <f>INDEX(R67:V82,MATCH(J67,Q67:Q82,0),MATCH(E66,R66:V66,0))</f>
        <v>#N/A</v>
      </c>
      <c r="J72" s="2" t="e">
        <f>INDEX(W67:AA82,MATCH(J67,Q67:Q82,0),MATCH(E66,W66:AA66,0))</f>
        <v>#N/A</v>
      </c>
      <c r="L72" s="61" t="str">
        <f>"Grade "&amp;J68&amp;" Dist "&amp;J67</f>
        <v>Grade 2 Dist no such number</v>
      </c>
      <c r="M72" s="14" t="e">
        <f>INDEX(R67:V82,MATCH(J67,Q67:Q82,0),MATCH(J68,R66:V66,0))</f>
        <v>#N/A</v>
      </c>
      <c r="N72" s="14" t="e">
        <f>INDEX(W67:AA82,MATCH(J67,Q67:Q82,0),MATCH(J68,W66:AA66,0))</f>
        <v>#N/A</v>
      </c>
      <c r="O72" s="1"/>
      <c r="Q72" s="2">
        <v>150</v>
      </c>
      <c r="R72" s="2">
        <v>1</v>
      </c>
      <c r="S72" s="2">
        <v>1.03</v>
      </c>
      <c r="T72" s="2">
        <v>1.1599999999999999</v>
      </c>
      <c r="U72" s="2">
        <v>1.28</v>
      </c>
      <c r="V72" s="2">
        <v>1.4</v>
      </c>
      <c r="W72" s="2">
        <v>1</v>
      </c>
      <c r="X72" s="2">
        <v>1.1200000000000001</v>
      </c>
      <c r="Y72" s="2">
        <v>1.33</v>
      </c>
      <c r="Z72" s="2">
        <v>1.52</v>
      </c>
      <c r="AA72" s="2">
        <v>1.68</v>
      </c>
    </row>
    <row r="73" spans="4:27" ht="13.5" thickTop="1" x14ac:dyDescent="0.2">
      <c r="D73" s="2" t="s">
        <v>148</v>
      </c>
      <c r="E73" s="55" t="str">
        <f>INDEX(E69:F72,MATCH("Y",F69:F72,0),1)</f>
        <v>N/A</v>
      </c>
      <c r="F73" s="55"/>
      <c r="H73" s="6" t="s">
        <v>228</v>
      </c>
      <c r="I73" s="2" t="e">
        <f>I72-I71</f>
        <v>#N/A</v>
      </c>
      <c r="J73" s="2" t="e">
        <f>J72-J71</f>
        <v>#N/A</v>
      </c>
      <c r="L73" s="60" t="str">
        <f>"Delta Grade "&amp;I68</f>
        <v>Delta Grade 0</v>
      </c>
      <c r="M73" s="13" t="e">
        <f>M70-M69</f>
        <v>#N/A</v>
      </c>
      <c r="N73" s="13" t="e">
        <f>N70-N69</f>
        <v>#N/A</v>
      </c>
      <c r="O73" s="1"/>
      <c r="Q73" s="2">
        <v>175</v>
      </c>
      <c r="R73" s="2">
        <v>1</v>
      </c>
      <c r="S73" s="2">
        <v>1.03</v>
      </c>
      <c r="T73" s="2">
        <v>1.17</v>
      </c>
      <c r="U73" s="2">
        <v>1.29</v>
      </c>
      <c r="V73" s="2">
        <v>1.42</v>
      </c>
      <c r="W73" s="2">
        <v>1</v>
      </c>
      <c r="X73" s="2">
        <v>1.1200000000000001</v>
      </c>
      <c r="Y73" s="2">
        <v>1.34</v>
      </c>
      <c r="Z73" s="2">
        <v>1.53</v>
      </c>
      <c r="AA73" s="2">
        <v>1.7</v>
      </c>
    </row>
    <row r="74" spans="4:27" x14ac:dyDescent="0.2">
      <c r="H74" s="6" t="s">
        <v>233</v>
      </c>
      <c r="I74" s="2" t="e">
        <f>I73/(J67-I67)</f>
        <v>#N/A</v>
      </c>
      <c r="J74" s="2" t="e">
        <f>J73/(J67-I67)</f>
        <v>#N/A</v>
      </c>
      <c r="L74" s="58" t="str">
        <f>"Delta Grade "&amp;J68</f>
        <v>Delta Grade 2</v>
      </c>
      <c r="M74" s="2" t="e">
        <f>M72-M71</f>
        <v>#N/A</v>
      </c>
      <c r="N74" s="2" t="e">
        <f>N72-N71</f>
        <v>#N/A</v>
      </c>
      <c r="O74" s="1"/>
      <c r="Q74" s="2">
        <v>200</v>
      </c>
      <c r="R74" s="2">
        <v>1</v>
      </c>
      <c r="S74" s="2">
        <v>1.04</v>
      </c>
      <c r="T74" s="2">
        <v>1.17</v>
      </c>
      <c r="U74" s="2">
        <v>1.3</v>
      </c>
      <c r="V74" s="2">
        <v>1.43</v>
      </c>
      <c r="W74" s="2">
        <v>1</v>
      </c>
      <c r="X74" s="2">
        <v>1.1299999999999999</v>
      </c>
      <c r="Y74" s="2">
        <v>1.35</v>
      </c>
      <c r="Z74" s="2">
        <v>1.54</v>
      </c>
      <c r="AA74" s="2">
        <v>1.72</v>
      </c>
    </row>
    <row r="75" spans="4:27" x14ac:dyDescent="0.2">
      <c r="H75" s="6" t="s">
        <v>189</v>
      </c>
      <c r="I75" s="2" t="e">
        <f>I71+((J67-I67)*I74)</f>
        <v>#N/A</v>
      </c>
      <c r="J75" s="2" t="e">
        <f>J71+((J67-I67)*J74)</f>
        <v>#N/A</v>
      </c>
      <c r="L75" s="58" t="s">
        <v>240</v>
      </c>
      <c r="M75" s="2" t="e">
        <f>J67-I67</f>
        <v>#VALUE!</v>
      </c>
      <c r="N75" s="2" t="e">
        <f>M75</f>
        <v>#VALUE!</v>
      </c>
      <c r="O75" s="1"/>
      <c r="Q75" s="2">
        <v>225</v>
      </c>
      <c r="R75" s="2">
        <v>1</v>
      </c>
      <c r="S75" s="2">
        <v>1.04</v>
      </c>
      <c r="T75" s="2">
        <v>1.18</v>
      </c>
      <c r="U75" s="2">
        <v>1.32</v>
      </c>
      <c r="V75" s="2">
        <v>1.45</v>
      </c>
      <c r="W75" s="2">
        <v>1</v>
      </c>
      <c r="X75" s="2">
        <v>1.1299999999999999</v>
      </c>
      <c r="Y75" s="2">
        <v>1.35</v>
      </c>
      <c r="Z75" s="2">
        <v>1.56</v>
      </c>
      <c r="AA75" s="2">
        <v>1.74</v>
      </c>
    </row>
    <row r="76" spans="4:27" x14ac:dyDescent="0.2">
      <c r="I76" s="1"/>
      <c r="J76" s="1"/>
      <c r="L76" s="58" t="str">
        <f>"Slope G"&amp;I68&amp;" (per ft)"</f>
        <v>Slope G0 (per ft)</v>
      </c>
      <c r="M76" s="59" t="e">
        <f>M73/M75</f>
        <v>#N/A</v>
      </c>
      <c r="N76" s="59" t="e">
        <f>N73/N75</f>
        <v>#N/A</v>
      </c>
      <c r="O76" s="1"/>
      <c r="Q76" s="2">
        <v>250</v>
      </c>
      <c r="R76" s="2">
        <v>1</v>
      </c>
      <c r="S76" s="2">
        <v>1.04</v>
      </c>
      <c r="T76" s="2">
        <v>1.19</v>
      </c>
      <c r="U76" s="2">
        <v>1.33</v>
      </c>
      <c r="V76" s="2">
        <v>1.47</v>
      </c>
      <c r="W76" s="2">
        <v>1</v>
      </c>
      <c r="X76" s="2">
        <v>1.1299999999999999</v>
      </c>
      <c r="Y76" s="2">
        <v>1.36</v>
      </c>
      <c r="Z76" s="2">
        <v>1.57</v>
      </c>
      <c r="AA76" s="2">
        <v>1.76</v>
      </c>
    </row>
    <row r="77" spans="4:27" x14ac:dyDescent="0.2">
      <c r="H77" t="s">
        <v>222</v>
      </c>
      <c r="I77" s="2" t="s">
        <v>98</v>
      </c>
      <c r="J77" s="2" t="s">
        <v>99</v>
      </c>
      <c r="L77" s="58" t="str">
        <f>"Slope G"&amp;J68&amp;" (per ft)"</f>
        <v>Slope G2 (per ft)</v>
      </c>
      <c r="M77" s="59" t="e">
        <f>M74/M75</f>
        <v>#N/A</v>
      </c>
      <c r="N77" s="59" t="e">
        <f>N74/N75</f>
        <v>#N/A</v>
      </c>
      <c r="O77" s="1"/>
      <c r="Q77" s="2">
        <v>275</v>
      </c>
      <c r="R77" s="2">
        <v>1</v>
      </c>
      <c r="S77" s="2">
        <v>1.05</v>
      </c>
      <c r="T77" s="2">
        <v>1.2</v>
      </c>
      <c r="U77" s="2">
        <v>1.34</v>
      </c>
      <c r="V77" s="2">
        <v>1.49</v>
      </c>
      <c r="W77" s="2">
        <v>1</v>
      </c>
      <c r="X77" s="2">
        <v>1.1399999999999999</v>
      </c>
      <c r="Y77" s="2">
        <v>1.37</v>
      </c>
      <c r="Z77" s="2">
        <v>1.58</v>
      </c>
      <c r="AA77" s="2">
        <v>1.77</v>
      </c>
    </row>
    <row r="78" spans="4:27" x14ac:dyDescent="0.2">
      <c r="H78" s="6" t="s">
        <v>231</v>
      </c>
      <c r="I78" s="2" t="e">
        <f>INDEX(R67:V82,MATCH(E67,Q67:Q82,0),MATCH(I68,R66:V66,0))</f>
        <v>#N/A</v>
      </c>
      <c r="J78" s="2" t="e">
        <f>INDEX(W67:AA82,MATCH(E67,Q67:Q82,0),MATCH(I68,W66:AA66,0))</f>
        <v>#N/A</v>
      </c>
      <c r="L78" s="58" t="str">
        <f>"G"&amp;I68&amp;" Factor at DVCD"</f>
        <v>G0 Factor at DVCD</v>
      </c>
      <c r="M78" s="2" t="e">
        <f>M69+((M65-I67)*M76)</f>
        <v>#N/A</v>
      </c>
      <c r="N78" s="2" t="e">
        <f>N69+((M65-I67)*N76)</f>
        <v>#N/A</v>
      </c>
      <c r="O78" s="1"/>
      <c r="Q78" s="2">
        <v>300</v>
      </c>
      <c r="R78" s="2">
        <v>1</v>
      </c>
      <c r="S78" s="2">
        <v>1.05</v>
      </c>
      <c r="T78" s="2">
        <v>1.2</v>
      </c>
      <c r="U78" s="2">
        <v>1.35</v>
      </c>
      <c r="V78" s="2">
        <v>1.5</v>
      </c>
      <c r="W78" s="2">
        <v>1</v>
      </c>
      <c r="X78" s="2">
        <v>1.1399999999999999</v>
      </c>
      <c r="Y78" s="2">
        <v>1.37</v>
      </c>
      <c r="Z78" s="2">
        <v>1.59</v>
      </c>
      <c r="AA78" s="2">
        <v>1.79</v>
      </c>
    </row>
    <row r="79" spans="4:27" ht="13.5" thickBot="1" x14ac:dyDescent="0.25">
      <c r="H79" s="6" t="s">
        <v>232</v>
      </c>
      <c r="I79" s="2" t="e">
        <f>INDEX(R67:V82,MATCH(E67,Q67:Q82,0),MATCH(J68,R66:V66,0))</f>
        <v>#N/A</v>
      </c>
      <c r="J79" s="2" t="e">
        <f>INDEX(W67:AA82,MATCH(E67,Q67:Q82,0),MATCH(J68,W66:AA66,0))</f>
        <v>#N/A</v>
      </c>
      <c r="L79" s="61" t="str">
        <f>"G"&amp;J68&amp;" Factor at DVCD"</f>
        <v>G2 Factor at DVCD</v>
      </c>
      <c r="M79" s="14" t="e">
        <f>M71+((M65-I67)*M77)</f>
        <v>#N/A</v>
      </c>
      <c r="N79" s="14" t="e">
        <f>N71+((M65-I67)*N77)</f>
        <v>#N/A</v>
      </c>
      <c r="O79" s="1"/>
      <c r="Q79" s="2">
        <v>325</v>
      </c>
      <c r="R79" s="2">
        <v>1</v>
      </c>
      <c r="S79" s="2">
        <v>1.05</v>
      </c>
      <c r="T79" s="2">
        <v>1.21</v>
      </c>
      <c r="U79" s="2">
        <v>1.36</v>
      </c>
      <c r="V79" s="2">
        <v>1.52</v>
      </c>
      <c r="W79" s="2">
        <v>1</v>
      </c>
      <c r="X79" s="2">
        <v>1.1399999999999999</v>
      </c>
      <c r="Y79" s="2">
        <v>1.38</v>
      </c>
      <c r="Z79" s="2">
        <v>1.6</v>
      </c>
      <c r="AA79" s="2">
        <v>1.81</v>
      </c>
    </row>
    <row r="80" spans="4:27" ht="13.5" thickTop="1" x14ac:dyDescent="0.2">
      <c r="H80" s="6" t="s">
        <v>228</v>
      </c>
      <c r="I80" s="2" t="e">
        <f>I79-I78</f>
        <v>#N/A</v>
      </c>
      <c r="J80" s="2" t="e">
        <f>J79-J78</f>
        <v>#N/A</v>
      </c>
      <c r="L80" s="60" t="s">
        <v>241</v>
      </c>
      <c r="M80" s="13" t="e">
        <f>M79-M78</f>
        <v>#N/A</v>
      </c>
      <c r="N80" s="13" t="e">
        <f>N79-N78</f>
        <v>#N/A</v>
      </c>
      <c r="O80" s="1"/>
      <c r="Q80" s="2">
        <v>350</v>
      </c>
      <c r="R80" s="2">
        <v>1</v>
      </c>
      <c r="S80" s="2">
        <v>1.05</v>
      </c>
      <c r="T80" s="2">
        <v>1.22</v>
      </c>
      <c r="U80" s="2">
        <v>1.37</v>
      </c>
      <c r="V80" s="2">
        <v>1.54</v>
      </c>
      <c r="W80" s="2">
        <v>1</v>
      </c>
      <c r="X80" s="2">
        <v>1.1499999999999999</v>
      </c>
      <c r="Y80" s="2">
        <v>1.39</v>
      </c>
      <c r="Z80" s="2">
        <v>1.61</v>
      </c>
      <c r="AA80" s="2">
        <v>1.82</v>
      </c>
    </row>
    <row r="81" spans="8:27" x14ac:dyDescent="0.2">
      <c r="H81" s="6" t="s">
        <v>234</v>
      </c>
      <c r="I81" s="2" t="e">
        <f>I80/(J68-I68)</f>
        <v>#N/A</v>
      </c>
      <c r="J81" s="2" t="e">
        <f>J80/(J68-I68)</f>
        <v>#N/A</v>
      </c>
      <c r="L81" s="58" t="s">
        <v>242</v>
      </c>
      <c r="M81" s="2" t="e">
        <f>M80/(J68-I68)</f>
        <v>#N/A</v>
      </c>
      <c r="N81" s="2" t="e">
        <f>N80/(J68-I68)</f>
        <v>#N/A</v>
      </c>
      <c r="O81" s="1"/>
      <c r="Q81" s="2">
        <v>375</v>
      </c>
      <c r="R81" s="2">
        <v>1</v>
      </c>
      <c r="S81" s="2">
        <v>1.06</v>
      </c>
      <c r="T81" s="2">
        <v>1.22</v>
      </c>
      <c r="U81" s="2">
        <v>1.38</v>
      </c>
      <c r="V81" s="2">
        <v>1.55</v>
      </c>
      <c r="W81" s="2">
        <v>1</v>
      </c>
      <c r="X81" s="2">
        <v>1.1499999999999999</v>
      </c>
      <c r="Y81" s="2">
        <v>1.39</v>
      </c>
      <c r="Z81" s="2">
        <v>1.62</v>
      </c>
      <c r="AA81" s="2">
        <v>1.84</v>
      </c>
    </row>
    <row r="82" spans="8:27" x14ac:dyDescent="0.2">
      <c r="H82" s="6" t="s">
        <v>189</v>
      </c>
      <c r="I82" s="2" t="e">
        <f>I78+((J68-I68)*I81)</f>
        <v>#N/A</v>
      </c>
      <c r="J82" s="2" t="e">
        <f>J78+((J68-I68)*J81)</f>
        <v>#N/A</v>
      </c>
      <c r="L82" s="58" t="s">
        <v>243</v>
      </c>
      <c r="M82" s="55" t="e">
        <f>M78+((M66-I68)*M81)</f>
        <v>#N/A</v>
      </c>
      <c r="N82" s="55" t="e">
        <f>N78+((M66-I68)*N81)</f>
        <v>#N/A</v>
      </c>
      <c r="O82" s="1"/>
      <c r="Q82" s="2">
        <v>400</v>
      </c>
      <c r="R82" s="2">
        <v>1</v>
      </c>
      <c r="S82" s="2">
        <v>1.06</v>
      </c>
      <c r="T82" s="2">
        <v>1.23</v>
      </c>
      <c r="U82" s="2">
        <v>1.4</v>
      </c>
      <c r="V82" s="2">
        <v>1.57</v>
      </c>
      <c r="W82" s="2">
        <v>1</v>
      </c>
      <c r="X82" s="2">
        <v>1.1499999999999999</v>
      </c>
      <c r="Y82" s="2">
        <v>1.4</v>
      </c>
      <c r="Z82" s="2">
        <v>1.63</v>
      </c>
      <c r="AA82" s="2">
        <v>1.85</v>
      </c>
    </row>
    <row r="83" spans="8:27" x14ac:dyDescent="0.2">
      <c r="H83" s="1"/>
      <c r="I83" s="1"/>
      <c r="J83" s="1"/>
      <c r="K83" s="1"/>
      <c r="O83" s="1"/>
      <c r="P83" s="1"/>
      <c r="S83" s="1"/>
      <c r="V83" s="1"/>
      <c r="W83" s="1"/>
      <c r="X83" s="1"/>
      <c r="Y83" s="1"/>
      <c r="Z83" s="1"/>
      <c r="AA83" s="1"/>
    </row>
    <row r="84" spans="8:27" x14ac:dyDescent="0.2">
      <c r="H84" s="1"/>
      <c r="I84" s="1"/>
      <c r="J84" s="1"/>
      <c r="K84" s="1"/>
      <c r="O84" s="1"/>
      <c r="P84" s="1"/>
      <c r="V84" s="1"/>
      <c r="W84" s="1"/>
      <c r="X84" s="1"/>
      <c r="Y84" s="1"/>
      <c r="Z84" s="1"/>
      <c r="AA84" s="1"/>
    </row>
  </sheetData>
  <sheetProtection algorithmName="SHA-512" hashValue="Q3c5d+n/AJThf7XGEPf8QRJXQion3YgiIZ4Vro/bdwRL3M2oa61hKxCWmNOvvUK98w7Lub9iC3tMxYFaXD+WGg==" saltValue="KNCnLAvW8S1Pte/bIwqIJg==" spinCount="100000" sheet="1" objects="1" scenarios="1"/>
  <sortState xmlns:xlrd2="http://schemas.microsoft.com/office/spreadsheetml/2017/richdata2" ref="D7:F10">
    <sortCondition ref="D7:D10"/>
  </sortState>
  <pageMargins left="0.7" right="0.7" top="0.75" bottom="0.75" header="0.3" footer="0.3"/>
  <pageSetup scale="45" orientation="landscape" horizontalDpi="1200" verticalDpi="1200" r:id="rId1"/>
  <headerFooter>
    <oddFooter>&amp;LWSDOT Railroad Preemption Worksheet - Supporting Data Sheet
&amp;"Arial,Italic"v2021.11.24&amp;R&amp;"Arial Black,Italic"&amp;12&amp;KFF0000DRAFT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Supporting Data</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WSDOT Traffic RR-TSG Preemption Worksheet</dc:title>
  <dc:creator>Jackson, Flint</dc:creator>
  <cp:lastModifiedBy>Jackson, Flint</cp:lastModifiedBy>
  <cp:lastPrinted>2023-07-20T19:42:12Z</cp:lastPrinted>
  <dcterms:created xsi:type="dcterms:W3CDTF">2020-10-07T21:22:38Z</dcterms:created>
  <dcterms:modified xsi:type="dcterms:W3CDTF">2023-07-20T19:42:13Z</dcterms:modified>
</cp:coreProperties>
</file>